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-120" windowWidth="25095" windowHeight="12300" activeTab="3"/>
  </bookViews>
  <sheets>
    <sheet name="Program Overview" sheetId="1" r:id="rId1"/>
    <sheet name="Budget Overview" sheetId="2" r:id="rId2"/>
    <sheet name="Budget Detail" sheetId="3" r:id="rId3"/>
    <sheet name="Program Mgr vs. Co-Curricular" sheetId="4" r:id="rId4"/>
  </sheets>
  <calcPr calcId="145621"/>
</workbook>
</file>

<file path=xl/calcChain.xml><?xml version="1.0" encoding="utf-8"?>
<calcChain xmlns="http://schemas.openxmlformats.org/spreadsheetml/2006/main">
  <c r="W70" i="2" l="1"/>
  <c r="U70" i="2"/>
  <c r="S70" i="2"/>
  <c r="Q70" i="2"/>
  <c r="W70" i="3"/>
  <c r="U70" i="3"/>
  <c r="S70" i="3"/>
  <c r="Q70" i="3"/>
  <c r="W77" i="3"/>
  <c r="U77" i="3"/>
  <c r="S77" i="3"/>
  <c r="Q77" i="3"/>
  <c r="W74" i="2"/>
  <c r="W75" i="2" s="1"/>
  <c r="W77" i="2" s="1"/>
  <c r="U74" i="2"/>
  <c r="U75" i="2" s="1"/>
  <c r="U77" i="2" s="1"/>
  <c r="S74" i="2"/>
  <c r="S75" i="2" s="1"/>
  <c r="S77" i="2" s="1"/>
  <c r="Q74" i="2"/>
  <c r="Q75" i="2" s="1"/>
  <c r="Q77" i="2" s="1"/>
  <c r="K75" i="2"/>
  <c r="G75" i="2"/>
  <c r="M74" i="2"/>
  <c r="M77" i="2" s="1"/>
  <c r="K74" i="2"/>
  <c r="K77" i="2" s="1"/>
  <c r="I74" i="2"/>
  <c r="I77" i="2" s="1"/>
  <c r="G74" i="2"/>
  <c r="G77" i="2" s="1"/>
  <c r="E74" i="2"/>
  <c r="E77" i="2" s="1"/>
  <c r="K70" i="2"/>
  <c r="G70" i="2"/>
  <c r="W67" i="2"/>
  <c r="U67" i="2"/>
  <c r="S67" i="2"/>
  <c r="Q67" i="2"/>
  <c r="M67" i="2"/>
  <c r="M70" i="2" s="1"/>
  <c r="K67" i="2"/>
  <c r="I67" i="2"/>
  <c r="I70" i="2" s="1"/>
  <c r="G67" i="2"/>
  <c r="E67" i="2"/>
  <c r="E70" i="2" s="1"/>
  <c r="W63" i="2"/>
  <c r="U63" i="2"/>
  <c r="S63" i="2"/>
  <c r="Q63" i="2"/>
  <c r="K63" i="2"/>
  <c r="G60" i="2"/>
  <c r="G63" i="2" s="1"/>
  <c r="E60" i="2"/>
  <c r="W59" i="2"/>
  <c r="U59" i="2"/>
  <c r="S59" i="2"/>
  <c r="Q59" i="2"/>
  <c r="M59" i="2"/>
  <c r="M63" i="2" s="1"/>
  <c r="K59" i="2"/>
  <c r="I59" i="2"/>
  <c r="I63" i="2" s="1"/>
  <c r="G59" i="2"/>
  <c r="E59" i="2"/>
  <c r="E63" i="2" s="1"/>
  <c r="W55" i="2"/>
  <c r="U55" i="2"/>
  <c r="S55" i="2"/>
  <c r="Q55" i="2"/>
  <c r="M53" i="2"/>
  <c r="M55" i="2" s="1"/>
  <c r="K53" i="2"/>
  <c r="K55" i="2" s="1"/>
  <c r="I53" i="2"/>
  <c r="I55" i="2" s="1"/>
  <c r="E53" i="2"/>
  <c r="E55" i="2" s="1"/>
  <c r="G52" i="2"/>
  <c r="G51" i="2"/>
  <c r="G50" i="2"/>
  <c r="M44" i="2"/>
  <c r="K44" i="2"/>
  <c r="I44" i="2"/>
  <c r="G44" i="2"/>
  <c r="E44" i="2"/>
  <c r="M43" i="2"/>
  <c r="K43" i="2"/>
  <c r="I43" i="2"/>
  <c r="G43" i="2"/>
  <c r="E43" i="2"/>
  <c r="E37" i="2"/>
  <c r="W34" i="2"/>
  <c r="W46" i="2" s="1"/>
  <c r="U34" i="2"/>
  <c r="S34" i="2"/>
  <c r="S46" i="2" s="1"/>
  <c r="Q34" i="2"/>
  <c r="M34" i="2"/>
  <c r="M46" i="2" s="1"/>
  <c r="K34" i="2"/>
  <c r="I34" i="2"/>
  <c r="I46" i="2" s="1"/>
  <c r="G34" i="2"/>
  <c r="E34" i="2"/>
  <c r="E46" i="2" s="1"/>
  <c r="W33" i="2"/>
  <c r="U33" i="2"/>
  <c r="U46" i="2" s="1"/>
  <c r="S33" i="2"/>
  <c r="Q33" i="2"/>
  <c r="Q46" i="2" s="1"/>
  <c r="M33" i="2"/>
  <c r="K33" i="2"/>
  <c r="K46" i="2" s="1"/>
  <c r="I33" i="2"/>
  <c r="G33" i="2"/>
  <c r="G46" i="2" s="1"/>
  <c r="E33" i="2"/>
  <c r="C29" i="2"/>
  <c r="W26" i="2"/>
  <c r="S26" i="2"/>
  <c r="M26" i="2"/>
  <c r="I26" i="2"/>
  <c r="E26" i="2"/>
  <c r="W25" i="2"/>
  <c r="U25" i="2"/>
  <c r="U26" i="2" s="1"/>
  <c r="S25" i="2"/>
  <c r="Q25" i="2"/>
  <c r="Q26" i="2" s="1"/>
  <c r="M25" i="2"/>
  <c r="K25" i="2"/>
  <c r="K26" i="2" s="1"/>
  <c r="I25" i="2"/>
  <c r="G25" i="2"/>
  <c r="G26" i="2" s="1"/>
  <c r="E25" i="2"/>
  <c r="W17" i="2"/>
  <c r="U17" i="2"/>
  <c r="U22" i="2" s="1"/>
  <c r="S17" i="2"/>
  <c r="Q17" i="2"/>
  <c r="Q22" i="2" s="1"/>
  <c r="M17" i="2"/>
  <c r="K17" i="2"/>
  <c r="K22" i="2" s="1"/>
  <c r="I17" i="2"/>
  <c r="G17" i="2"/>
  <c r="G22" i="2" s="1"/>
  <c r="E17" i="2"/>
  <c r="W15" i="2"/>
  <c r="W21" i="2" s="1"/>
  <c r="U15" i="2"/>
  <c r="U21" i="2" s="1"/>
  <c r="S15" i="2"/>
  <c r="S21" i="2" s="1"/>
  <c r="Q15" i="2"/>
  <c r="Q21" i="2" s="1"/>
  <c r="M15" i="2"/>
  <c r="M21" i="2" s="1"/>
  <c r="K15" i="2"/>
  <c r="K21" i="2" s="1"/>
  <c r="I15" i="2"/>
  <c r="I21" i="2" s="1"/>
  <c r="G15" i="2"/>
  <c r="G21" i="2" s="1"/>
  <c r="E15" i="2"/>
  <c r="E21" i="2" s="1"/>
  <c r="C12" i="2"/>
  <c r="C80" i="2" s="1"/>
  <c r="M10" i="2"/>
  <c r="I10" i="2"/>
  <c r="E10" i="2"/>
  <c r="M9" i="2"/>
  <c r="K9" i="2"/>
  <c r="K10" i="2" s="1"/>
  <c r="I9" i="2"/>
  <c r="G9" i="2"/>
  <c r="G10" i="2" s="1"/>
  <c r="E9" i="2"/>
  <c r="W8" i="2"/>
  <c r="W12" i="2" s="1"/>
  <c r="U8" i="2"/>
  <c r="S8" i="2"/>
  <c r="S12" i="2" s="1"/>
  <c r="Q8" i="2"/>
  <c r="M7" i="2"/>
  <c r="M12" i="2" s="1"/>
  <c r="K7" i="2"/>
  <c r="I7" i="2"/>
  <c r="I12" i="2" s="1"/>
  <c r="G7" i="2"/>
  <c r="E7" i="2"/>
  <c r="E12" i="2" s="1"/>
  <c r="W6" i="2"/>
  <c r="U6" i="2"/>
  <c r="U12" i="2" s="1"/>
  <c r="S6" i="2"/>
  <c r="Q6" i="2"/>
  <c r="Q12" i="2" s="1"/>
  <c r="W59" i="3"/>
  <c r="U59" i="3"/>
  <c r="S59" i="3"/>
  <c r="Q59" i="3"/>
  <c r="W26" i="3"/>
  <c r="U26" i="3"/>
  <c r="S26" i="3"/>
  <c r="Q26" i="3"/>
  <c r="W22" i="3"/>
  <c r="W21" i="3"/>
  <c r="U22" i="3"/>
  <c r="U21" i="3"/>
  <c r="S22" i="3"/>
  <c r="S21" i="3"/>
  <c r="Q22" i="3"/>
  <c r="Q21" i="3"/>
  <c r="M26" i="3"/>
  <c r="K26" i="3"/>
  <c r="I26" i="3"/>
  <c r="M7" i="3"/>
  <c r="K7" i="3"/>
  <c r="I7" i="3"/>
  <c r="G7" i="3"/>
  <c r="E7" i="3"/>
  <c r="G26" i="3"/>
  <c r="E26" i="3"/>
  <c r="M21" i="3"/>
  <c r="K21" i="3"/>
  <c r="I21" i="3"/>
  <c r="G21" i="3"/>
  <c r="E21" i="3"/>
  <c r="M10" i="3"/>
  <c r="K10" i="3"/>
  <c r="K12" i="3" s="1"/>
  <c r="I10" i="3"/>
  <c r="G10" i="3"/>
  <c r="E10" i="3"/>
  <c r="W75" i="3"/>
  <c r="W76" i="3" s="1"/>
  <c r="U75" i="3"/>
  <c r="U76" i="3" s="1"/>
  <c r="S75" i="3"/>
  <c r="S76" i="3" s="1"/>
  <c r="Q75" i="3"/>
  <c r="Q76" i="3" s="1"/>
  <c r="K75" i="3"/>
  <c r="G75" i="3"/>
  <c r="M74" i="3"/>
  <c r="M77" i="3" s="1"/>
  <c r="K74" i="3"/>
  <c r="K77" i="3" s="1"/>
  <c r="I74" i="3"/>
  <c r="I77" i="3" s="1"/>
  <c r="G74" i="3"/>
  <c r="G77" i="3" s="1"/>
  <c r="E74" i="3"/>
  <c r="E77" i="3" s="1"/>
  <c r="K70" i="3"/>
  <c r="G70" i="3"/>
  <c r="W67" i="3"/>
  <c r="U67" i="3"/>
  <c r="S67" i="3"/>
  <c r="Q67" i="3"/>
  <c r="M67" i="3"/>
  <c r="M70" i="3" s="1"/>
  <c r="K67" i="3"/>
  <c r="I67" i="3"/>
  <c r="I70" i="3" s="1"/>
  <c r="G67" i="3"/>
  <c r="E67" i="3"/>
  <c r="E70" i="3" s="1"/>
  <c r="W63" i="3"/>
  <c r="U63" i="3"/>
  <c r="S63" i="3"/>
  <c r="Q63" i="3"/>
  <c r="K63" i="3"/>
  <c r="G60" i="3"/>
  <c r="G63" i="3" s="1"/>
  <c r="E60" i="3"/>
  <c r="M59" i="3"/>
  <c r="M63" i="3" s="1"/>
  <c r="K59" i="3"/>
  <c r="I59" i="3"/>
  <c r="I63" i="3" s="1"/>
  <c r="G59" i="3"/>
  <c r="E59" i="3"/>
  <c r="E63" i="3" s="1"/>
  <c r="W55" i="3"/>
  <c r="U55" i="3"/>
  <c r="S55" i="3"/>
  <c r="Q55" i="3"/>
  <c r="K55" i="3"/>
  <c r="M53" i="3"/>
  <c r="M55" i="3" s="1"/>
  <c r="K53" i="3"/>
  <c r="I53" i="3"/>
  <c r="I55" i="3" s="1"/>
  <c r="E53" i="3"/>
  <c r="E55" i="3" s="1"/>
  <c r="G52" i="3"/>
  <c r="G51" i="3"/>
  <c r="G55" i="3" s="1"/>
  <c r="G50" i="3"/>
  <c r="G53" i="3" s="1"/>
  <c r="M44" i="3"/>
  <c r="K44" i="3"/>
  <c r="I44" i="3"/>
  <c r="G44" i="3"/>
  <c r="E44" i="3"/>
  <c r="M43" i="3"/>
  <c r="K43" i="3"/>
  <c r="I43" i="3"/>
  <c r="G43" i="3"/>
  <c r="E43" i="3"/>
  <c r="E37" i="3"/>
  <c r="W34" i="3"/>
  <c r="U34" i="3"/>
  <c r="S34" i="3"/>
  <c r="Q34" i="3"/>
  <c r="M34" i="3"/>
  <c r="K34" i="3"/>
  <c r="I34" i="3"/>
  <c r="G34" i="3"/>
  <c r="E34" i="3"/>
  <c r="W33" i="3"/>
  <c r="W46" i="3" s="1"/>
  <c r="U33" i="3"/>
  <c r="U46" i="3" s="1"/>
  <c r="S33" i="3"/>
  <c r="S46" i="3" s="1"/>
  <c r="Q33" i="3"/>
  <c r="Q46" i="3" s="1"/>
  <c r="M33" i="3"/>
  <c r="M46" i="3" s="1"/>
  <c r="K33" i="3"/>
  <c r="K46" i="3" s="1"/>
  <c r="I33" i="3"/>
  <c r="I46" i="3" s="1"/>
  <c r="G33" i="3"/>
  <c r="G46" i="3" s="1"/>
  <c r="E33" i="3"/>
  <c r="E46" i="3" s="1"/>
  <c r="C29" i="3"/>
  <c r="W25" i="3"/>
  <c r="U25" i="3"/>
  <c r="S25" i="3"/>
  <c r="Q25" i="3"/>
  <c r="M25" i="3"/>
  <c r="K25" i="3"/>
  <c r="I25" i="3"/>
  <c r="G25" i="3"/>
  <c r="E25" i="3"/>
  <c r="W17" i="3"/>
  <c r="U17" i="3"/>
  <c r="S17" i="3"/>
  <c r="Q17" i="3"/>
  <c r="M17" i="3"/>
  <c r="M22" i="3" s="1"/>
  <c r="K17" i="3"/>
  <c r="K22" i="3" s="1"/>
  <c r="I17" i="3"/>
  <c r="I22" i="3" s="1"/>
  <c r="G17" i="3"/>
  <c r="G22" i="3" s="1"/>
  <c r="E17" i="3"/>
  <c r="E22" i="3" s="1"/>
  <c r="W15" i="3"/>
  <c r="U15" i="3"/>
  <c r="S15" i="3"/>
  <c r="Q15" i="3"/>
  <c r="M15" i="3"/>
  <c r="K15" i="3"/>
  <c r="I15" i="3"/>
  <c r="G15" i="3"/>
  <c r="E15" i="3"/>
  <c r="C12" i="3"/>
  <c r="C80" i="3" s="1"/>
  <c r="M9" i="3"/>
  <c r="K9" i="3"/>
  <c r="I9" i="3"/>
  <c r="G9" i="3"/>
  <c r="E9" i="3"/>
  <c r="W8" i="3"/>
  <c r="U8" i="3"/>
  <c r="S8" i="3"/>
  <c r="Q8" i="3"/>
  <c r="M12" i="3"/>
  <c r="I12" i="3"/>
  <c r="G12" i="3"/>
  <c r="E12" i="3"/>
  <c r="W6" i="3"/>
  <c r="W12" i="3" s="1"/>
  <c r="U6" i="3"/>
  <c r="U12" i="3" s="1"/>
  <c r="S6" i="3"/>
  <c r="S12" i="3" s="1"/>
  <c r="Q6" i="3"/>
  <c r="Q12" i="3" s="1"/>
  <c r="G55" i="2" l="1"/>
  <c r="G53" i="2"/>
  <c r="G12" i="2"/>
  <c r="K12" i="2"/>
  <c r="U80" i="2"/>
  <c r="G29" i="2"/>
  <c r="K29" i="2"/>
  <c r="Q29" i="2"/>
  <c r="Q80" i="2" s="1"/>
  <c r="U29" i="2"/>
  <c r="E75" i="2"/>
  <c r="I75" i="2"/>
  <c r="M75" i="2"/>
  <c r="E22" i="2"/>
  <c r="E29" i="2" s="1"/>
  <c r="E80" i="2" s="1"/>
  <c r="I22" i="2"/>
  <c r="I29" i="2" s="1"/>
  <c r="I80" i="2" s="1"/>
  <c r="M22" i="2"/>
  <c r="M29" i="2" s="1"/>
  <c r="M80" i="2" s="1"/>
  <c r="S22" i="2"/>
  <c r="S29" i="2" s="1"/>
  <c r="S80" i="2" s="1"/>
  <c r="W22" i="2"/>
  <c r="W29" i="2" s="1"/>
  <c r="W80" i="2" s="1"/>
  <c r="I29" i="3"/>
  <c r="I80" i="3" s="1"/>
  <c r="S29" i="3"/>
  <c r="S80" i="3" s="1"/>
  <c r="E29" i="3"/>
  <c r="E80" i="3" s="1"/>
  <c r="M29" i="3"/>
  <c r="M80" i="3" s="1"/>
  <c r="W29" i="3"/>
  <c r="W80" i="3" s="1"/>
  <c r="G29" i="3"/>
  <c r="G80" i="3" s="1"/>
  <c r="K29" i="3"/>
  <c r="K80" i="3" s="1"/>
  <c r="Q29" i="3"/>
  <c r="Q80" i="3" s="1"/>
  <c r="U29" i="3"/>
  <c r="U80" i="3" s="1"/>
  <c r="E75" i="3"/>
  <c r="I75" i="3"/>
  <c r="M75" i="3"/>
  <c r="G80" i="2" l="1"/>
  <c r="K80" i="2"/>
</calcChain>
</file>

<file path=xl/sharedStrings.xml><?xml version="1.0" encoding="utf-8"?>
<sst xmlns="http://schemas.openxmlformats.org/spreadsheetml/2006/main" count="256" uniqueCount="94">
  <si>
    <t>Program Manager Salary</t>
  </si>
  <si>
    <t>status quo</t>
  </si>
  <si>
    <t>4 sites (no TCCS)        4 days per week        3 hrs per day</t>
  </si>
  <si>
    <t>4 sites (no TCCS)       3 days per week       3 hrs per day</t>
  </si>
  <si>
    <t>4 sites (no TCCS)      4 days per week      2 hrs per day</t>
  </si>
  <si>
    <t>4 sites (no TCCS)        3 days per week       2 hrs per day</t>
  </si>
  <si>
    <t>Program Manager Benefits</t>
  </si>
  <si>
    <t>Secretary Wages</t>
  </si>
  <si>
    <t>Secretary Benefits</t>
  </si>
  <si>
    <t>Staff Wages</t>
  </si>
  <si>
    <t>Staff Benefits</t>
  </si>
  <si>
    <t>summer (3 weeks)</t>
  </si>
  <si>
    <t>school year (36 weeks)</t>
  </si>
  <si>
    <t>wages</t>
  </si>
  <si>
    <t>benefits</t>
  </si>
  <si>
    <t>Staff Training/Extra Required Time*</t>
  </si>
  <si>
    <t>Enrichment</t>
  </si>
  <si>
    <t>school year wages (36 weeks)</t>
  </si>
  <si>
    <t>Contracted Services</t>
  </si>
  <si>
    <t>Salary</t>
  </si>
  <si>
    <t>Family Services</t>
  </si>
  <si>
    <t>family involvement activities</t>
  </si>
  <si>
    <t>Program Evaluator</t>
  </si>
  <si>
    <t>Grant Evaluations. Inc</t>
  </si>
  <si>
    <t>YMCA - physical activity</t>
  </si>
  <si>
    <t>Supplies</t>
  </si>
  <si>
    <t>consumable (office supplies, etc)</t>
  </si>
  <si>
    <t>non-consumable (books, office equip, games)</t>
  </si>
  <si>
    <t>food (snacks, enrichment)</t>
  </si>
  <si>
    <t>shipping</t>
  </si>
  <si>
    <t>Communication</t>
  </si>
  <si>
    <t>program manager cell phone</t>
  </si>
  <si>
    <t>site cell service - usage cards</t>
  </si>
  <si>
    <t>program postage</t>
  </si>
  <si>
    <t>Transportation</t>
  </si>
  <si>
    <t>program manager - site to site</t>
  </si>
  <si>
    <t>cohort 7</t>
  </si>
  <si>
    <t>Training</t>
  </si>
  <si>
    <t>conventions/regional meetings</t>
  </si>
  <si>
    <t>field trip (admission + busing)</t>
  </si>
  <si>
    <t xml:space="preserve">21st Century Grant Budget </t>
  </si>
  <si>
    <t>salary sub total</t>
  </si>
  <si>
    <t>staff sub total</t>
  </si>
  <si>
    <t>contracted services sub total</t>
  </si>
  <si>
    <t>supplies sub total</t>
  </si>
  <si>
    <t>communication sub total</t>
  </si>
  <si>
    <t>transportation sub total</t>
  </si>
  <si>
    <t>training sub total</t>
  </si>
  <si>
    <t>13 people*$18/hr*3hrs/day*4days/wk*36wks/yr</t>
  </si>
  <si>
    <t>7 people*$18/hr*3hrs/day*5days/wk*3wks</t>
  </si>
  <si>
    <t>District-Wide Coordinator  (co-curricular)</t>
  </si>
  <si>
    <t>Site Coordinators (co-curricular)</t>
  </si>
  <si>
    <t>music, art, health/nutrition, technology</t>
  </si>
  <si>
    <t>(one at each site…..$1944 each…4days/wk)</t>
  </si>
  <si>
    <t>(one at each site…..$1458 each…3days/wk)</t>
  </si>
  <si>
    <t>total</t>
  </si>
  <si>
    <t>district wide coordinator (travel to sites/mtgs)</t>
  </si>
  <si>
    <t xml:space="preserve">                                                       * meetings (8 hrs/yr),   late parents (15min 2x per week),      paperwork(15 min 2x per week)</t>
  </si>
  <si>
    <t>trainings (5 hrs/yr + 6 hrs/yr for new session)          wage</t>
  </si>
  <si>
    <t>21st Century Community Learning Center After School Program - Warren County School District</t>
  </si>
  <si>
    <t>Operates at five sites - WAEC, AVES, SGES, YEMS, TCCS</t>
  </si>
  <si>
    <t>Hours of Operation - Monday through Thursday, 3:00 - 6:00pm</t>
  </si>
  <si>
    <t>Components -  Homework Help, Physical Activity, Enrichment</t>
  </si>
  <si>
    <t xml:space="preserve">Summer Program - WAEC and YEMS  3-5 weeks </t>
  </si>
  <si>
    <t>Staff - 18 retired, certified, or substitute teachers</t>
  </si>
  <si>
    <t>Partners: YMCA, Family Services</t>
  </si>
  <si>
    <t>Cohort 6 Grant - Final Year...Funded at $317,315 per year.</t>
  </si>
  <si>
    <t>Program Manager &amp; Clerical Support</t>
  </si>
  <si>
    <t>Staff Wages &amp; Benefits     School Year and Summer</t>
  </si>
  <si>
    <t>Enrichment, Physical Activity, Family Services, Grant Evaluator</t>
  </si>
  <si>
    <t>Cell phones, Postage</t>
  </si>
  <si>
    <t>Program Manager, Field Trips</t>
  </si>
  <si>
    <t>Co-Curricular postions - District Wide Coordinator and Site Coordinators</t>
  </si>
  <si>
    <t>PDE Grant</t>
  </si>
  <si>
    <t>cohort 6</t>
  </si>
  <si>
    <t>Funding Considerations - Community Foundations, Nutrition Programs, Physical Activity Grants, STEM Grants, 21st CCLC Grant</t>
  </si>
  <si>
    <t>Program Manager Duties</t>
  </si>
  <si>
    <t>Coordination of all activities of the after school program.</t>
  </si>
  <si>
    <t>Supervision and evaluation of the after school staff.</t>
  </si>
  <si>
    <t>Convening and facilitation of monthly team meetings and other required meetings.</t>
  </si>
  <si>
    <t>Overseeing and coordination of data collection, preparation of reports; and communication of information with all relevant constituencies.</t>
  </si>
  <si>
    <t>Establishment and maintenance of regular communication with classroom teachersand building administration to ensure that programming continues to reflect student needs.</t>
  </si>
  <si>
    <t>Working with grant partners to establish physical activities at each location.</t>
  </si>
  <si>
    <t>Working with grant partners to organize enrichment activities at each location.</t>
  </si>
  <si>
    <t>Working with grant partners to establish effective tutoring/homework help program at each location.</t>
  </si>
  <si>
    <t>Attendance at all mandated professional development related to the grant.</t>
  </si>
  <si>
    <t>Working with building and district administrators to coordinate necessary custodial services for the after school program.</t>
  </si>
  <si>
    <t>Processing purchase orders, paying requests and requisitions.</t>
  </si>
  <si>
    <t>Preparing marketing materials and a monthly calendar of program schedules.</t>
  </si>
  <si>
    <t>Other duties as assigned by the Interim Director.</t>
  </si>
  <si>
    <t>Co-Curricular District Wide Coordinator</t>
  </si>
  <si>
    <t>Co-Curricular Site Coordinators</t>
  </si>
  <si>
    <t>Building Principal</t>
  </si>
  <si>
    <t>Working with grant partners to coordinate all parent activities and programs to encourage parent participation.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</si>
</sst>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0" fillId="0" borderId="1" xfId="1" quotePrefix="1" applyFont="1" applyBorder="1"/>
    <xf numFmtId="44" fontId="0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44" fontId="3" fillId="0" borderId="1" xfId="1" applyFont="1" applyBorder="1" applyAlignment="1">
      <alignment horizontal="right"/>
    </xf>
    <xf numFmtId="44" fontId="3" fillId="0" borderId="1" xfId="1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4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left"/>
    </xf>
    <xf numFmtId="0" fontId="0" fillId="0" borderId="0" xfId="0" applyBorder="1"/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44" fontId="0" fillId="0" borderId="0" xfId="1" quotePrefix="1" applyFont="1" applyBorder="1"/>
    <xf numFmtId="44" fontId="0" fillId="0" borderId="0" xfId="1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44" fontId="3" fillId="0" borderId="0" xfId="1" applyFont="1" applyBorder="1" applyAlignment="1">
      <alignment horizontal="right"/>
    </xf>
    <xf numFmtId="44" fontId="3" fillId="0" borderId="0" xfId="1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4" fontId="0" fillId="0" borderId="0" xfId="1" applyFont="1" applyBorder="1" applyAlignment="1">
      <alignment horizontal="right"/>
    </xf>
    <xf numFmtId="0" fontId="0" fillId="0" borderId="0" xfId="0" applyBorder="1" applyAlignment="1">
      <alignment horizontal="right" wrapText="1"/>
    </xf>
    <xf numFmtId="44" fontId="0" fillId="0" borderId="0" xfId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44" fontId="2" fillId="0" borderId="0" xfId="1" applyFont="1" applyBorder="1" applyAlignment="1">
      <alignment horizontal="right"/>
    </xf>
    <xf numFmtId="0" fontId="0" fillId="0" borderId="0" xfId="0" applyBorder="1" applyAlignment="1">
      <alignment horizontal="left"/>
    </xf>
    <xf numFmtId="44" fontId="0" fillId="0" borderId="0" xfId="1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0" fillId="0" borderId="1" xfId="0" applyBorder="1" applyAlignment="1">
      <alignment horizontal="left" wrapText="1"/>
    </xf>
    <xf numFmtId="0" fontId="2" fillId="0" borderId="1" xfId="0" applyFont="1" applyBorder="1"/>
    <xf numFmtId="44" fontId="2" fillId="0" borderId="1" xfId="1" applyFont="1" applyBorder="1"/>
    <xf numFmtId="0" fontId="0" fillId="2" borderId="1" xfId="0" applyFill="1" applyBorder="1"/>
    <xf numFmtId="44" fontId="0" fillId="2" borderId="1" xfId="1" applyFont="1" applyFill="1" applyBorder="1"/>
    <xf numFmtId="0" fontId="2" fillId="3" borderId="1" xfId="0" applyFont="1" applyFill="1" applyBorder="1" applyAlignment="1">
      <alignment horizontal="right"/>
    </xf>
    <xf numFmtId="44" fontId="0" fillId="3" borderId="1" xfId="1" applyFont="1" applyFill="1" applyBorder="1"/>
    <xf numFmtId="0" fontId="2" fillId="3" borderId="1" xfId="0" applyFont="1" applyFill="1" applyBorder="1" applyAlignment="1">
      <alignment horizontal="right" wrapText="1"/>
    </xf>
    <xf numFmtId="44" fontId="0" fillId="3" borderId="1" xfId="1" applyFont="1" applyFill="1" applyBorder="1" applyAlignment="1">
      <alignment horizontal="right" wrapText="1"/>
    </xf>
    <xf numFmtId="44" fontId="2" fillId="3" borderId="1" xfId="1" applyFont="1" applyFill="1" applyBorder="1" applyAlignment="1">
      <alignment horizontal="right"/>
    </xf>
    <xf numFmtId="44" fontId="0" fillId="3" borderId="1" xfId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44" fontId="0" fillId="4" borderId="1" xfId="1" applyFont="1" applyFill="1" applyBorder="1"/>
    <xf numFmtId="0" fontId="0" fillId="5" borderId="1" xfId="0" applyFill="1" applyBorder="1"/>
    <xf numFmtId="0" fontId="3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horizontal="right" wrapText="1"/>
    </xf>
    <xf numFmtId="0" fontId="0" fillId="5" borderId="1" xfId="0" applyFill="1" applyBorder="1" applyAlignment="1">
      <alignment horizontal="left"/>
    </xf>
    <xf numFmtId="44" fontId="0" fillId="5" borderId="1" xfId="1" applyFont="1" applyFill="1" applyBorder="1"/>
    <xf numFmtId="44" fontId="0" fillId="5" borderId="1" xfId="1" applyFont="1" applyFill="1" applyBorder="1" applyAlignment="1">
      <alignment horizontal="center" wrapText="1"/>
    </xf>
    <xf numFmtId="44" fontId="3" fillId="5" borderId="1" xfId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right"/>
    </xf>
    <xf numFmtId="44" fontId="0" fillId="5" borderId="1" xfId="1" applyFont="1" applyFill="1" applyBorder="1" applyAlignment="1">
      <alignment horizontal="right"/>
    </xf>
    <xf numFmtId="44" fontId="2" fillId="5" borderId="1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9"/>
  <sheetViews>
    <sheetView showGridLines="0" topLeftCell="A22" workbookViewId="0">
      <selection activeCell="B24" sqref="B24"/>
    </sheetView>
  </sheetViews>
  <sheetFormatPr defaultRowHeight="15" x14ac:dyDescent="0.25"/>
  <cols>
    <col min="1" max="1" width="27.140625" style="15" customWidth="1"/>
    <col min="2" max="2" width="201.42578125" style="15" customWidth="1"/>
    <col min="3" max="3" width="1.5703125" style="15" customWidth="1"/>
    <col min="4" max="4" width="14.85546875" style="16" customWidth="1"/>
    <col min="5" max="5" width="1.85546875" style="15" customWidth="1"/>
    <col min="6" max="6" width="15" style="16" customWidth="1"/>
    <col min="7" max="7" width="1.85546875" style="15" customWidth="1"/>
    <col min="8" max="8" width="18.42578125" style="16" customWidth="1"/>
    <col min="9" max="9" width="2" style="15" customWidth="1"/>
    <col min="10" max="10" width="18.42578125" style="16" customWidth="1"/>
    <col min="11" max="11" width="1.85546875" style="15" customWidth="1"/>
    <col min="12" max="12" width="18.28515625" style="16" customWidth="1"/>
    <col min="13" max="13" width="2.28515625" style="15" customWidth="1"/>
    <col min="14" max="14" width="18.42578125" style="16" customWidth="1"/>
    <col min="15" max="15" width="2.42578125" style="16" customWidth="1"/>
    <col min="16" max="16" width="50.140625" style="16" customWidth="1"/>
    <col min="17" max="17" width="2.140625" style="15" customWidth="1"/>
    <col min="18" max="18" width="18.42578125" style="16" customWidth="1"/>
    <col min="19" max="19" width="1.5703125" style="15" customWidth="1"/>
    <col min="20" max="20" width="17.5703125" style="16" customWidth="1"/>
    <col min="21" max="21" width="1.140625" style="15" customWidth="1"/>
    <col min="22" max="22" width="15.85546875" style="16" customWidth="1"/>
    <col min="23" max="23" width="1.5703125" style="15" customWidth="1"/>
    <col min="24" max="24" width="18.28515625" style="16" customWidth="1"/>
    <col min="25" max="16384" width="9.140625" style="15"/>
  </cols>
  <sheetData>
    <row r="2" spans="1:24" x14ac:dyDescent="0.25">
      <c r="R2" s="17"/>
      <c r="T2" s="18"/>
    </row>
    <row r="4" spans="1:24" ht="58.5" customHeight="1" x14ac:dyDescent="0.5">
      <c r="A4" s="33" t="s">
        <v>59</v>
      </c>
      <c r="D4" s="19"/>
      <c r="F4" s="17"/>
      <c r="H4" s="19"/>
      <c r="J4" s="19"/>
      <c r="L4" s="19"/>
      <c r="N4" s="19"/>
      <c r="O4" s="19"/>
      <c r="P4" s="19"/>
      <c r="R4" s="19"/>
      <c r="T4" s="19"/>
      <c r="V4" s="19"/>
      <c r="X4" s="19"/>
    </row>
    <row r="5" spans="1:24" ht="18.75" x14ac:dyDescent="0.3">
      <c r="B5" s="20"/>
      <c r="C5" s="20"/>
      <c r="D5" s="21"/>
      <c r="F5" s="17"/>
      <c r="H5" s="19"/>
      <c r="J5" s="19"/>
      <c r="L5" s="19"/>
      <c r="N5" s="19"/>
      <c r="O5" s="19"/>
      <c r="P5" s="22"/>
    </row>
    <row r="6" spans="1:24" x14ac:dyDescent="0.25">
      <c r="G6" s="16"/>
      <c r="I6" s="16"/>
      <c r="K6" s="16"/>
      <c r="M6" s="16"/>
      <c r="Q6" s="16"/>
    </row>
    <row r="7" spans="1:24" ht="23.25" customHeight="1" x14ac:dyDescent="0.35">
      <c r="B7" s="60" t="s">
        <v>60</v>
      </c>
      <c r="G7" s="16"/>
      <c r="I7" s="16"/>
      <c r="K7" s="16"/>
      <c r="M7" s="16"/>
      <c r="Q7" s="16"/>
    </row>
    <row r="8" spans="1:24" ht="23.25" x14ac:dyDescent="0.35">
      <c r="B8" s="32"/>
      <c r="G8" s="16"/>
      <c r="I8" s="16"/>
      <c r="K8" s="16"/>
      <c r="M8" s="16"/>
      <c r="Q8" s="16"/>
    </row>
    <row r="9" spans="1:24" ht="23.25" customHeight="1" x14ac:dyDescent="0.35">
      <c r="B9" s="60" t="s">
        <v>61</v>
      </c>
      <c r="G9" s="16"/>
      <c r="I9" s="16"/>
      <c r="K9" s="16"/>
      <c r="M9" s="16"/>
      <c r="Q9" s="16"/>
    </row>
    <row r="10" spans="1:24" ht="23.25" customHeight="1" x14ac:dyDescent="0.35">
      <c r="B10" s="32"/>
      <c r="G10" s="16"/>
      <c r="I10" s="16"/>
      <c r="K10" s="16"/>
      <c r="M10" s="16"/>
      <c r="Q10" s="16"/>
    </row>
    <row r="11" spans="1:24" ht="23.25" customHeight="1" x14ac:dyDescent="0.35">
      <c r="B11" s="60" t="s">
        <v>62</v>
      </c>
      <c r="G11" s="16"/>
      <c r="I11" s="16"/>
      <c r="K11" s="16"/>
      <c r="M11" s="16"/>
      <c r="Q11" s="16"/>
    </row>
    <row r="12" spans="1:24" ht="23.25" customHeight="1" x14ac:dyDescent="0.25">
      <c r="B12" s="23"/>
      <c r="G12" s="16"/>
      <c r="I12" s="16"/>
      <c r="K12" s="16"/>
      <c r="M12" s="16"/>
      <c r="P12" s="23"/>
      <c r="Q12" s="16"/>
    </row>
    <row r="13" spans="1:24" ht="23.25" customHeight="1" x14ac:dyDescent="0.35">
      <c r="B13" s="60" t="s">
        <v>63</v>
      </c>
      <c r="G13" s="16"/>
      <c r="I13" s="16"/>
      <c r="K13" s="16"/>
      <c r="M13" s="16"/>
      <c r="Q13" s="16"/>
    </row>
    <row r="14" spans="1:24" ht="23.25" customHeight="1" x14ac:dyDescent="0.25">
      <c r="B14" s="24"/>
      <c r="C14" s="24"/>
      <c r="D14" s="25"/>
      <c r="G14" s="16"/>
      <c r="I14" s="16"/>
      <c r="K14" s="16"/>
      <c r="M14" s="16"/>
      <c r="P14" s="25"/>
      <c r="Q14" s="16"/>
    </row>
    <row r="15" spans="1:24" ht="23.25" customHeight="1" x14ac:dyDescent="0.35">
      <c r="B15" s="60" t="s">
        <v>64</v>
      </c>
      <c r="C15" s="24"/>
      <c r="D15" s="25"/>
      <c r="G15" s="16"/>
      <c r="I15" s="16"/>
      <c r="K15" s="16"/>
      <c r="M15" s="16"/>
      <c r="P15" s="25"/>
      <c r="Q15" s="16"/>
    </row>
    <row r="16" spans="1:24" ht="23.25" customHeight="1" x14ac:dyDescent="0.25">
      <c r="B16" s="24"/>
      <c r="C16" s="24"/>
      <c r="D16" s="25"/>
      <c r="G16" s="16"/>
      <c r="I16" s="16"/>
      <c r="K16" s="16"/>
      <c r="M16" s="16"/>
      <c r="P16" s="25"/>
      <c r="Q16" s="16"/>
    </row>
    <row r="17" spans="2:17" ht="23.25" customHeight="1" x14ac:dyDescent="0.35">
      <c r="B17" s="60" t="s">
        <v>65</v>
      </c>
      <c r="C17" s="24"/>
      <c r="D17" s="25"/>
      <c r="G17" s="16"/>
      <c r="I17" s="16"/>
      <c r="K17" s="16"/>
      <c r="M17" s="16"/>
      <c r="Q17" s="16"/>
    </row>
    <row r="18" spans="2:17" ht="23.25" customHeight="1" x14ac:dyDescent="0.25">
      <c r="G18" s="16"/>
      <c r="I18" s="16"/>
      <c r="K18" s="16"/>
      <c r="M18" s="16"/>
      <c r="Q18" s="16"/>
    </row>
    <row r="19" spans="2:17" ht="23.25" customHeight="1" x14ac:dyDescent="0.35">
      <c r="B19" s="60" t="s">
        <v>66</v>
      </c>
      <c r="G19" s="16"/>
      <c r="I19" s="16"/>
      <c r="K19" s="16"/>
      <c r="M19" s="16"/>
      <c r="P19" s="15"/>
      <c r="Q19" s="16"/>
    </row>
    <row r="20" spans="2:17" ht="23.25" customHeight="1" x14ac:dyDescent="0.25">
      <c r="B20" s="24"/>
      <c r="C20" s="24"/>
      <c r="D20" s="25"/>
      <c r="G20" s="16"/>
      <c r="I20" s="16"/>
      <c r="K20" s="16"/>
      <c r="M20" s="16"/>
      <c r="P20" s="24"/>
      <c r="Q20" s="16"/>
    </row>
    <row r="21" spans="2:17" ht="23.25" customHeight="1" x14ac:dyDescent="0.35">
      <c r="B21" s="60" t="s">
        <v>75</v>
      </c>
      <c r="C21" s="24"/>
      <c r="D21" s="25"/>
      <c r="G21" s="16"/>
      <c r="I21" s="16"/>
      <c r="K21" s="16"/>
      <c r="M21" s="16"/>
      <c r="P21" s="24"/>
      <c r="Q21" s="16"/>
    </row>
    <row r="22" spans="2:17" ht="23.25" customHeight="1" x14ac:dyDescent="0.25">
      <c r="G22" s="16"/>
      <c r="I22" s="16"/>
      <c r="K22" s="16"/>
      <c r="M22" s="16"/>
      <c r="Q22" s="16"/>
    </row>
    <row r="23" spans="2:17" ht="23.25" customHeight="1" x14ac:dyDescent="0.25">
      <c r="G23" s="16"/>
      <c r="I23" s="16"/>
      <c r="K23" s="16"/>
      <c r="M23" s="16"/>
      <c r="Q23" s="16"/>
    </row>
    <row r="24" spans="2:17" ht="23.25" customHeight="1" x14ac:dyDescent="0.25">
      <c r="B24" s="24"/>
      <c r="C24" s="24"/>
      <c r="D24" s="25"/>
      <c r="G24" s="16"/>
      <c r="I24" s="16"/>
      <c r="K24" s="16"/>
      <c r="M24" s="16"/>
      <c r="P24" s="24"/>
      <c r="Q24" s="16"/>
    </row>
    <row r="25" spans="2:17" ht="23.25" customHeight="1" x14ac:dyDescent="0.25">
      <c r="B25" s="24"/>
      <c r="C25" s="24"/>
      <c r="D25" s="25"/>
      <c r="G25" s="16"/>
      <c r="I25" s="16"/>
      <c r="K25" s="16"/>
      <c r="M25" s="16"/>
      <c r="P25" s="24"/>
      <c r="Q25" s="16"/>
    </row>
    <row r="26" spans="2:17" x14ac:dyDescent="0.25">
      <c r="B26" s="26"/>
      <c r="C26" s="26"/>
      <c r="D26" s="27"/>
      <c r="G26" s="16"/>
      <c r="I26" s="16"/>
      <c r="K26" s="16"/>
      <c r="M26" s="16"/>
      <c r="P26" s="26"/>
      <c r="Q26" s="16"/>
    </row>
    <row r="27" spans="2:17" x14ac:dyDescent="0.25">
      <c r="B27" s="26"/>
      <c r="C27" s="26"/>
      <c r="D27" s="27"/>
      <c r="G27" s="16"/>
      <c r="I27" s="16"/>
      <c r="K27" s="16"/>
      <c r="M27" s="16"/>
      <c r="Q27" s="16"/>
    </row>
    <row r="28" spans="2:17" x14ac:dyDescent="0.25">
      <c r="B28" s="28"/>
      <c r="C28" s="26"/>
      <c r="D28" s="27"/>
      <c r="G28" s="16"/>
      <c r="I28" s="16"/>
      <c r="K28" s="16"/>
      <c r="M28" s="16"/>
      <c r="P28" s="29"/>
      <c r="Q28" s="16"/>
    </row>
    <row r="29" spans="2:17" x14ac:dyDescent="0.25">
      <c r="B29" s="24"/>
      <c r="C29" s="24"/>
      <c r="D29" s="25"/>
      <c r="G29" s="16"/>
      <c r="I29" s="16"/>
      <c r="K29" s="16"/>
      <c r="M29" s="16"/>
      <c r="Q29" s="16"/>
    </row>
    <row r="30" spans="2:17" ht="18.75" x14ac:dyDescent="0.3">
      <c r="B30" s="20"/>
      <c r="C30" s="20"/>
      <c r="D30" s="21"/>
      <c r="G30" s="16"/>
      <c r="I30" s="16"/>
      <c r="K30" s="16"/>
      <c r="M30" s="16"/>
      <c r="P30" s="20"/>
      <c r="Q30" s="16"/>
    </row>
    <row r="31" spans="2:17" x14ac:dyDescent="0.25">
      <c r="B31" s="30"/>
      <c r="C31" s="30"/>
      <c r="D31" s="31"/>
      <c r="G31" s="16"/>
      <c r="I31" s="16"/>
      <c r="K31" s="16"/>
      <c r="M31" s="16"/>
      <c r="P31" s="30"/>
      <c r="Q31" s="16"/>
    </row>
    <row r="32" spans="2:17" x14ac:dyDescent="0.25">
      <c r="B32" s="24"/>
      <c r="C32" s="24"/>
      <c r="D32" s="25"/>
      <c r="G32" s="16"/>
      <c r="I32" s="16"/>
      <c r="K32" s="16"/>
      <c r="M32" s="16"/>
      <c r="P32" s="24"/>
      <c r="Q32" s="16"/>
    </row>
    <row r="33" spans="2:17" x14ac:dyDescent="0.25">
      <c r="B33" s="24"/>
      <c r="C33" s="24"/>
      <c r="D33" s="25"/>
      <c r="G33" s="16"/>
      <c r="I33" s="16"/>
      <c r="K33" s="16"/>
      <c r="M33" s="16"/>
      <c r="P33" s="24"/>
      <c r="Q33" s="16"/>
    </row>
    <row r="34" spans="2:17" x14ac:dyDescent="0.25">
      <c r="G34" s="16"/>
      <c r="I34" s="16"/>
      <c r="K34" s="16"/>
      <c r="M34" s="16"/>
      <c r="P34" s="15"/>
      <c r="Q34" s="16"/>
    </row>
    <row r="35" spans="2:17" x14ac:dyDescent="0.25">
      <c r="G35" s="16"/>
      <c r="I35" s="16"/>
      <c r="K35" s="16"/>
      <c r="M35" s="16"/>
      <c r="P35" s="15"/>
      <c r="Q35" s="16"/>
    </row>
    <row r="36" spans="2:17" x14ac:dyDescent="0.25">
      <c r="B36" s="24"/>
      <c r="C36" s="24"/>
      <c r="D36" s="25"/>
      <c r="G36" s="16"/>
      <c r="I36" s="16"/>
      <c r="K36" s="16"/>
      <c r="M36" s="16"/>
      <c r="P36" s="24"/>
      <c r="Q36" s="16"/>
    </row>
    <row r="37" spans="2:17" x14ac:dyDescent="0.25">
      <c r="G37" s="16"/>
      <c r="I37" s="16"/>
      <c r="K37" s="16"/>
      <c r="M37" s="16"/>
      <c r="P37" s="15"/>
      <c r="Q37" s="16"/>
    </row>
    <row r="38" spans="2:17" x14ac:dyDescent="0.25">
      <c r="G38" s="16"/>
      <c r="I38" s="16"/>
      <c r="K38" s="16"/>
      <c r="M38" s="16"/>
      <c r="P38" s="15"/>
      <c r="Q38" s="16"/>
    </row>
    <row r="39" spans="2:17" x14ac:dyDescent="0.25">
      <c r="B39" s="24"/>
      <c r="C39" s="24"/>
      <c r="D39" s="25"/>
      <c r="G39" s="16"/>
      <c r="I39" s="16"/>
      <c r="K39" s="16"/>
      <c r="M39" s="16"/>
      <c r="P39" s="24"/>
      <c r="Q39" s="16"/>
    </row>
    <row r="40" spans="2:17" x14ac:dyDescent="0.25">
      <c r="G40" s="16"/>
      <c r="I40" s="16"/>
      <c r="K40" s="16"/>
      <c r="M40" s="16"/>
      <c r="P40" s="15"/>
      <c r="Q40" s="16"/>
    </row>
    <row r="41" spans="2:17" x14ac:dyDescent="0.25">
      <c r="G41" s="16"/>
      <c r="I41" s="16"/>
      <c r="K41" s="16"/>
      <c r="M41" s="16"/>
      <c r="P41" s="15"/>
      <c r="Q41" s="16"/>
    </row>
    <row r="42" spans="2:17" x14ac:dyDescent="0.25">
      <c r="B42" s="24"/>
      <c r="C42" s="24"/>
      <c r="D42" s="25"/>
      <c r="G42" s="16"/>
      <c r="I42" s="16"/>
      <c r="K42" s="16"/>
      <c r="M42" s="16"/>
      <c r="P42" s="24"/>
      <c r="Q42" s="16"/>
    </row>
    <row r="43" spans="2:17" x14ac:dyDescent="0.25">
      <c r="B43" s="24"/>
      <c r="C43" s="24"/>
      <c r="D43" s="25"/>
      <c r="G43" s="16"/>
      <c r="I43" s="16"/>
      <c r="K43" s="16"/>
      <c r="M43" s="16"/>
      <c r="P43" s="24"/>
      <c r="Q43" s="16"/>
    </row>
    <row r="44" spans="2:17" x14ac:dyDescent="0.25">
      <c r="B44" s="24"/>
      <c r="C44" s="24"/>
      <c r="D44" s="25"/>
      <c r="G44" s="16"/>
      <c r="I44" s="16"/>
      <c r="K44" s="16"/>
      <c r="M44" s="16"/>
      <c r="Q44" s="16"/>
    </row>
    <row r="45" spans="2:17" x14ac:dyDescent="0.25">
      <c r="B45" s="23"/>
      <c r="C45" s="24"/>
      <c r="D45" s="25"/>
      <c r="G45" s="16"/>
      <c r="I45" s="16"/>
      <c r="K45" s="16"/>
      <c r="M45" s="16"/>
      <c r="P45" s="23"/>
      <c r="Q45" s="16"/>
    </row>
    <row r="46" spans="2:17" x14ac:dyDescent="0.25">
      <c r="G46" s="16"/>
      <c r="I46" s="16"/>
      <c r="K46" s="16"/>
      <c r="M46" s="16"/>
      <c r="Q46" s="16"/>
    </row>
    <row r="47" spans="2:17" ht="18.75" x14ac:dyDescent="0.3">
      <c r="B47" s="20"/>
      <c r="C47" s="20"/>
      <c r="D47" s="21"/>
      <c r="P47" s="20"/>
    </row>
    <row r="49" spans="2:16" x14ac:dyDescent="0.25">
      <c r="P49" s="15"/>
    </row>
    <row r="50" spans="2:16" x14ac:dyDescent="0.25">
      <c r="P50" s="15"/>
    </row>
    <row r="51" spans="2:16" x14ac:dyDescent="0.25">
      <c r="P51" s="15"/>
    </row>
    <row r="52" spans="2:16" x14ac:dyDescent="0.25">
      <c r="P52" s="15"/>
    </row>
    <row r="54" spans="2:16" x14ac:dyDescent="0.25">
      <c r="B54" s="23"/>
      <c r="P54" s="23"/>
    </row>
    <row r="56" spans="2:16" ht="18.75" x14ac:dyDescent="0.3">
      <c r="B56" s="20"/>
      <c r="C56" s="20"/>
      <c r="D56" s="21"/>
      <c r="P56" s="20"/>
    </row>
    <row r="59" spans="2:16" x14ac:dyDescent="0.25">
      <c r="P59" s="15"/>
    </row>
    <row r="60" spans="2:16" x14ac:dyDescent="0.25">
      <c r="P60" s="15"/>
    </row>
    <row r="62" spans="2:16" x14ac:dyDescent="0.25">
      <c r="B62" s="23"/>
      <c r="P62" s="23"/>
    </row>
    <row r="64" spans="2:16" ht="18.75" x14ac:dyDescent="0.3">
      <c r="B64" s="20"/>
      <c r="C64" s="20"/>
      <c r="D64" s="21"/>
      <c r="P64" s="20"/>
    </row>
    <row r="69" spans="2:16" x14ac:dyDescent="0.25">
      <c r="B69" s="23"/>
      <c r="P69" s="23"/>
    </row>
    <row r="71" spans="2:16" ht="18.75" x14ac:dyDescent="0.3">
      <c r="B71" s="20"/>
      <c r="C71" s="20"/>
      <c r="D71" s="21"/>
      <c r="P71" s="20"/>
    </row>
    <row r="74" spans="2:16" x14ac:dyDescent="0.25">
      <c r="B74" s="24"/>
      <c r="P74" s="15"/>
    </row>
    <row r="75" spans="2:16" x14ac:dyDescent="0.25">
      <c r="P75" s="24"/>
    </row>
    <row r="76" spans="2:16" x14ac:dyDescent="0.25">
      <c r="B76" s="23"/>
      <c r="P76" s="23"/>
    </row>
    <row r="79" spans="2:16" x14ac:dyDescent="0.25">
      <c r="B79" s="23"/>
    </row>
  </sheetData>
  <pageMargins left="0.25" right="0.25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0"/>
  <sheetViews>
    <sheetView topLeftCell="A2" workbookViewId="0">
      <selection activeCell="G4" sqref="G4"/>
    </sheetView>
  </sheetViews>
  <sheetFormatPr defaultRowHeight="15" x14ac:dyDescent="0.25"/>
  <cols>
    <col min="1" max="1" width="44.7109375" style="1" customWidth="1"/>
    <col min="2" max="2" width="1.28515625" style="37" customWidth="1"/>
    <col min="3" max="3" width="13.42578125" style="2" customWidth="1"/>
    <col min="4" max="4" width="1.28515625" style="37" customWidth="1"/>
    <col min="5" max="5" width="12.7109375" style="2" customWidth="1"/>
    <col min="6" max="6" width="1.28515625" style="37" customWidth="1"/>
    <col min="7" max="7" width="15.85546875" style="2" customWidth="1"/>
    <col min="8" max="8" width="1.28515625" style="1" customWidth="1"/>
    <col min="9" max="9" width="16.7109375" style="2" customWidth="1"/>
    <col min="10" max="10" width="1.28515625" style="1" customWidth="1"/>
    <col min="11" max="11" width="16.42578125" style="2" customWidth="1"/>
    <col min="12" max="12" width="1.28515625" style="1" customWidth="1"/>
    <col min="13" max="13" width="16.5703125" style="2" customWidth="1"/>
    <col min="14" max="14" width="1.28515625" style="38" customWidth="1"/>
    <col min="15" max="15" width="27" style="38" hidden="1" customWidth="1"/>
    <col min="16" max="16" width="1.28515625" style="37" customWidth="1"/>
    <col min="17" max="17" width="18.42578125" style="2" customWidth="1"/>
    <col min="18" max="18" width="1.28515625" style="1" customWidth="1"/>
    <col min="19" max="19" width="17.5703125" style="2" customWidth="1"/>
    <col min="20" max="20" width="1.28515625" style="1" customWidth="1"/>
    <col min="21" max="21" width="15.85546875" style="2" customWidth="1"/>
    <col min="22" max="22" width="1.28515625" style="1" customWidth="1"/>
    <col min="23" max="23" width="15.85546875" style="2" customWidth="1"/>
    <col min="24" max="16384" width="9.140625" style="1"/>
  </cols>
  <sheetData>
    <row r="2" spans="1:23" x14ac:dyDescent="0.25">
      <c r="C2" s="3" t="s">
        <v>74</v>
      </c>
      <c r="E2" s="3" t="s">
        <v>36</v>
      </c>
      <c r="Q2" s="3"/>
      <c r="S2" s="4"/>
    </row>
    <row r="3" spans="1:23" x14ac:dyDescent="0.25">
      <c r="C3" s="3" t="s">
        <v>73</v>
      </c>
      <c r="E3" s="3" t="s">
        <v>73</v>
      </c>
    </row>
    <row r="4" spans="1:23" ht="58.5" customHeight="1" x14ac:dyDescent="0.25">
      <c r="B4" s="47"/>
      <c r="C4" s="5" t="s">
        <v>40</v>
      </c>
      <c r="D4" s="47"/>
      <c r="E4" s="3" t="s">
        <v>1</v>
      </c>
      <c r="F4" s="47"/>
      <c r="G4" s="5" t="s">
        <v>2</v>
      </c>
      <c r="H4" s="47"/>
      <c r="I4" s="5" t="s">
        <v>3</v>
      </c>
      <c r="J4" s="47"/>
      <c r="K4" s="5" t="s">
        <v>4</v>
      </c>
      <c r="L4" s="47"/>
      <c r="M4" s="5" t="s">
        <v>5</v>
      </c>
      <c r="N4" s="53"/>
      <c r="O4" s="53"/>
      <c r="P4" s="47"/>
      <c r="Q4" s="5" t="s">
        <v>2</v>
      </c>
      <c r="R4" s="47"/>
      <c r="S4" s="5" t="s">
        <v>3</v>
      </c>
      <c r="T4" s="47"/>
      <c r="U4" s="5" t="s">
        <v>4</v>
      </c>
      <c r="V4" s="47"/>
      <c r="W4" s="5" t="s">
        <v>5</v>
      </c>
    </row>
    <row r="5" spans="1:23" ht="18.75" x14ac:dyDescent="0.3">
      <c r="A5" s="6" t="s">
        <v>19</v>
      </c>
      <c r="B5" s="48"/>
      <c r="C5" s="7"/>
      <c r="D5" s="47"/>
      <c r="E5" s="3"/>
      <c r="F5" s="47"/>
      <c r="G5" s="5"/>
      <c r="H5" s="47"/>
      <c r="I5" s="5"/>
      <c r="J5" s="47"/>
      <c r="K5" s="5"/>
      <c r="L5" s="47"/>
      <c r="M5" s="5"/>
      <c r="N5" s="53"/>
      <c r="O5" s="54" t="s">
        <v>19</v>
      </c>
      <c r="P5" s="47"/>
      <c r="R5" s="47"/>
      <c r="T5" s="47"/>
      <c r="V5" s="47"/>
    </row>
    <row r="6" spans="1:23" hidden="1" x14ac:dyDescent="0.25">
      <c r="A6" s="1" t="s">
        <v>0</v>
      </c>
      <c r="B6" s="47"/>
      <c r="D6" s="47"/>
      <c r="E6" s="2">
        <v>35500</v>
      </c>
      <c r="F6" s="52"/>
      <c r="G6" s="2">
        <v>35500</v>
      </c>
      <c r="H6" s="52"/>
      <c r="I6" s="2">
        <v>35500</v>
      </c>
      <c r="J6" s="52"/>
      <c r="K6" s="2">
        <v>35500</v>
      </c>
      <c r="L6" s="52"/>
      <c r="M6" s="2">
        <v>35500</v>
      </c>
      <c r="N6" s="52"/>
      <c r="O6" s="52" t="s">
        <v>50</v>
      </c>
      <c r="P6" s="52"/>
      <c r="Q6" s="2">
        <f>27.7*4*39</f>
        <v>4321.2</v>
      </c>
      <c r="R6" s="47"/>
      <c r="S6" s="2">
        <f>27.7*3*39</f>
        <v>3240.8999999999996</v>
      </c>
      <c r="T6" s="47"/>
      <c r="U6" s="2">
        <f>27.7*4*39</f>
        <v>4321.2</v>
      </c>
      <c r="V6" s="47"/>
      <c r="W6" s="2">
        <f>27.7*3*39</f>
        <v>3240.8999999999996</v>
      </c>
    </row>
    <row r="7" spans="1:23" hidden="1" x14ac:dyDescent="0.25">
      <c r="A7" s="1" t="s">
        <v>6</v>
      </c>
      <c r="B7" s="47"/>
      <c r="D7" s="47"/>
      <c r="E7" s="2">
        <f xml:space="preserve"> (E6*0.0765)+(E6*0.214)+(625.04*12*2*1.0809)+(63.67*12*1.05)+(8.7*12*1.05)</f>
        <v>27439.149663999997</v>
      </c>
      <c r="F7" s="52"/>
      <c r="G7" s="2">
        <f xml:space="preserve"> (G6*0.0765)+(G6*0.214)+(625.04*12*2*1.0809)+(63.67*12*1.05)+(8.7*12*1.05)</f>
        <v>27439.149663999997</v>
      </c>
      <c r="H7" s="52"/>
      <c r="I7" s="2">
        <f xml:space="preserve"> (I6*0.0765)+(I6*0.214)+(625.04*12*2*1.0809)+(63.67*12*1.05)+(8.7*12*1.05)</f>
        <v>27439.149663999997</v>
      </c>
      <c r="J7" s="52"/>
      <c r="K7" s="2">
        <f xml:space="preserve"> (K6*0.0765)+(K6*0.214)+(625.04*12*2*1.0809)+(63.67*12*1.05)+(8.7*12*1.05)</f>
        <v>27439.149663999997</v>
      </c>
      <c r="L7" s="52"/>
      <c r="M7" s="2">
        <f xml:space="preserve"> (M6*0.0765)+(M6*0.214)+(625.04*12*2*1.0809)+(63.67*12*1.05)+(8.7*12*1.05)</f>
        <v>27439.149663999997</v>
      </c>
      <c r="N7" s="52"/>
      <c r="O7" s="52"/>
      <c r="P7" s="52"/>
      <c r="R7" s="47"/>
      <c r="T7" s="47"/>
      <c r="V7" s="47"/>
    </row>
    <row r="8" spans="1:23" hidden="1" x14ac:dyDescent="0.25">
      <c r="B8" s="47"/>
      <c r="D8" s="47"/>
      <c r="F8" s="52"/>
      <c r="H8" s="52"/>
      <c r="J8" s="52"/>
      <c r="L8" s="52"/>
      <c r="N8" s="52"/>
      <c r="O8" s="52" t="s">
        <v>51</v>
      </c>
      <c r="P8" s="52"/>
      <c r="Q8" s="2">
        <f>1944*4</f>
        <v>7776</v>
      </c>
      <c r="R8" s="47"/>
      <c r="S8" s="2">
        <f>((1944/4)*3*4)</f>
        <v>5832</v>
      </c>
      <c r="T8" s="47"/>
      <c r="U8" s="2">
        <f>1944*4</f>
        <v>7776</v>
      </c>
      <c r="V8" s="47"/>
      <c r="W8" s="2">
        <f>((1944/4)*3*4)</f>
        <v>5832</v>
      </c>
    </row>
    <row r="9" spans="1:23" hidden="1" x14ac:dyDescent="0.25">
      <c r="A9" s="1" t="s">
        <v>7</v>
      </c>
      <c r="B9" s="47"/>
      <c r="D9" s="47"/>
      <c r="E9" s="2">
        <f>14.42*5*45</f>
        <v>3244.4999999999995</v>
      </c>
      <c r="F9" s="52"/>
      <c r="G9" s="2">
        <f>14.42*5*45</f>
        <v>3244.4999999999995</v>
      </c>
      <c r="H9" s="52"/>
      <c r="I9" s="2">
        <f>14.42*5*45</f>
        <v>3244.4999999999995</v>
      </c>
      <c r="J9" s="52"/>
      <c r="K9" s="2">
        <f>14.42*5*45</f>
        <v>3244.4999999999995</v>
      </c>
      <c r="L9" s="52"/>
      <c r="M9" s="2">
        <f>14.42*5*45</f>
        <v>3244.4999999999995</v>
      </c>
      <c r="N9" s="52"/>
      <c r="O9" s="52" t="s">
        <v>53</v>
      </c>
      <c r="P9" s="52"/>
      <c r="R9" s="47"/>
      <c r="T9" s="47"/>
      <c r="V9" s="47"/>
    </row>
    <row r="10" spans="1:23" hidden="1" x14ac:dyDescent="0.25">
      <c r="A10" s="1" t="s">
        <v>8</v>
      </c>
      <c r="B10" s="47"/>
      <c r="D10" s="47"/>
      <c r="E10" s="2">
        <f>(E9*0.0765)+(E9*0.214)</f>
        <v>942.52724999999987</v>
      </c>
      <c r="F10" s="52"/>
      <c r="G10" s="2">
        <f>(G9*0.0765)+(G9*0.214)</f>
        <v>942.52724999999987</v>
      </c>
      <c r="H10" s="52"/>
      <c r="I10" s="2">
        <f>(I9*0.0765)+(I9*0.214)</f>
        <v>942.52724999999987</v>
      </c>
      <c r="J10" s="52"/>
      <c r="K10" s="2">
        <f>(K9*0.0765)+(K9*0.214)</f>
        <v>942.52724999999987</v>
      </c>
      <c r="L10" s="52"/>
      <c r="M10" s="2">
        <f>(M9*0.0765)+(M9*0.214)</f>
        <v>942.52724999999987</v>
      </c>
      <c r="N10" s="52"/>
      <c r="O10" s="52" t="s">
        <v>54</v>
      </c>
      <c r="P10" s="52"/>
      <c r="R10" s="47"/>
      <c r="T10" s="47"/>
      <c r="V10" s="47"/>
    </row>
    <row r="11" spans="1:23" x14ac:dyDescent="0.25">
      <c r="B11" s="47"/>
      <c r="D11" s="47"/>
      <c r="F11" s="52"/>
      <c r="G11" s="35" t="s">
        <v>67</v>
      </c>
      <c r="H11" s="52"/>
      <c r="J11" s="52"/>
      <c r="L11" s="52"/>
      <c r="N11" s="52"/>
      <c r="O11" s="52"/>
      <c r="P11" s="52"/>
      <c r="Q11" s="36" t="s">
        <v>72</v>
      </c>
      <c r="R11" s="47"/>
      <c r="T11" s="47"/>
      <c r="V11" s="47"/>
    </row>
    <row r="12" spans="1:23" s="37" customFormat="1" x14ac:dyDescent="0.25">
      <c r="A12" s="39" t="s">
        <v>41</v>
      </c>
      <c r="B12" s="47"/>
      <c r="C12" s="40">
        <f>39650+23240</f>
        <v>62890</v>
      </c>
      <c r="D12" s="47"/>
      <c r="E12" s="40">
        <f>SUM(E6:E11)</f>
        <v>67126.176913999996</v>
      </c>
      <c r="F12" s="52"/>
      <c r="G12" s="40">
        <f>SUM(G6:G11)</f>
        <v>67126.176913999996</v>
      </c>
      <c r="H12" s="52"/>
      <c r="I12" s="40">
        <f>SUM(I6:I11)</f>
        <v>67126.176913999996</v>
      </c>
      <c r="J12" s="52"/>
      <c r="K12" s="40">
        <f>SUM(K6:K11)</f>
        <v>67126.176913999996</v>
      </c>
      <c r="L12" s="52"/>
      <c r="M12" s="40">
        <f>SUM(M6:M11)</f>
        <v>67126.176913999996</v>
      </c>
      <c r="N12" s="52"/>
      <c r="O12" s="55" t="s">
        <v>41</v>
      </c>
      <c r="P12" s="52"/>
      <c r="Q12" s="40">
        <f>SUM(Q6:Q11)</f>
        <v>12097.2</v>
      </c>
      <c r="R12" s="47"/>
      <c r="S12" s="40">
        <f>SUM(S6:S11)</f>
        <v>9072.9</v>
      </c>
      <c r="T12" s="47"/>
      <c r="U12" s="40">
        <f>SUM(U6:U11)</f>
        <v>12097.2</v>
      </c>
      <c r="V12" s="47"/>
      <c r="W12" s="40">
        <f>SUM(W6:W11)</f>
        <v>9072.9</v>
      </c>
    </row>
    <row r="13" spans="1:23" x14ac:dyDescent="0.25">
      <c r="B13" s="47"/>
      <c r="D13" s="47"/>
      <c r="F13" s="52"/>
      <c r="H13" s="52"/>
      <c r="J13" s="52"/>
      <c r="L13" s="52"/>
      <c r="N13" s="52"/>
      <c r="O13" s="52"/>
      <c r="P13" s="52"/>
      <c r="R13" s="47"/>
      <c r="T13" s="47"/>
      <c r="V13" s="47"/>
    </row>
    <row r="14" spans="1:23" hidden="1" x14ac:dyDescent="0.25">
      <c r="A14" s="1" t="s">
        <v>9</v>
      </c>
      <c r="B14" s="47"/>
      <c r="D14" s="47"/>
      <c r="F14" s="52"/>
      <c r="H14" s="52"/>
      <c r="J14" s="52"/>
      <c r="L14" s="52"/>
      <c r="N14" s="52"/>
      <c r="O14" s="52" t="s">
        <v>9</v>
      </c>
      <c r="P14" s="52"/>
      <c r="R14" s="47"/>
      <c r="T14" s="47"/>
      <c r="V14" s="47"/>
    </row>
    <row r="15" spans="1:23" hidden="1" x14ac:dyDescent="0.25">
      <c r="A15" s="9" t="s">
        <v>12</v>
      </c>
      <c r="B15" s="49"/>
      <c r="C15" s="10"/>
      <c r="D15" s="47"/>
      <c r="E15" s="2">
        <f>13*18*3*4*36</f>
        <v>101088</v>
      </c>
      <c r="F15" s="52"/>
      <c r="G15" s="2">
        <f>11*18*3*4*36</f>
        <v>85536</v>
      </c>
      <c r="H15" s="52"/>
      <c r="I15" s="2">
        <f>11*18*3*3*36</f>
        <v>64152</v>
      </c>
      <c r="J15" s="52"/>
      <c r="K15" s="2">
        <f>11*18*2*4*36</f>
        <v>57024</v>
      </c>
      <c r="L15" s="52"/>
      <c r="M15" s="2">
        <f>11*18*3*2*36</f>
        <v>42768</v>
      </c>
      <c r="N15" s="52"/>
      <c r="O15" s="56" t="s">
        <v>12</v>
      </c>
      <c r="P15" s="52"/>
      <c r="Q15" s="2">
        <f>11*18*3*4*36</f>
        <v>85536</v>
      </c>
      <c r="R15" s="47"/>
      <c r="S15" s="2">
        <f>11*18*3*3*36</f>
        <v>64152</v>
      </c>
      <c r="T15" s="47"/>
      <c r="U15" s="2">
        <f>11*18*2*4*36</f>
        <v>57024</v>
      </c>
      <c r="V15" s="47"/>
      <c r="W15" s="2">
        <f>11*18*3*2*36</f>
        <v>42768</v>
      </c>
    </row>
    <row r="16" spans="1:23" hidden="1" x14ac:dyDescent="0.25">
      <c r="A16" s="9" t="s">
        <v>48</v>
      </c>
      <c r="B16" s="49"/>
      <c r="C16" s="10"/>
      <c r="D16" s="47"/>
      <c r="F16" s="52"/>
      <c r="H16" s="52"/>
      <c r="J16" s="52"/>
      <c r="L16" s="52"/>
      <c r="N16" s="52"/>
      <c r="O16" s="56"/>
      <c r="P16" s="52"/>
      <c r="R16" s="47"/>
      <c r="T16" s="47"/>
      <c r="V16" s="47"/>
    </row>
    <row r="17" spans="1:23" hidden="1" x14ac:dyDescent="0.25">
      <c r="A17" s="9" t="s">
        <v>11</v>
      </c>
      <c r="B17" s="49"/>
      <c r="C17" s="10"/>
      <c r="D17" s="47"/>
      <c r="E17" s="2">
        <f>7*18*3*5*3</f>
        <v>5670</v>
      </c>
      <c r="F17" s="52"/>
      <c r="G17" s="2">
        <f>7*18*3*5*3</f>
        <v>5670</v>
      </c>
      <c r="H17" s="52"/>
      <c r="I17" s="2">
        <f>7*18*3*5*3</f>
        <v>5670</v>
      </c>
      <c r="J17" s="52"/>
      <c r="K17" s="2">
        <f>7*18*3*5*3</f>
        <v>5670</v>
      </c>
      <c r="L17" s="52"/>
      <c r="M17" s="2">
        <f>7*18*3*5*3</f>
        <v>5670</v>
      </c>
      <c r="N17" s="52"/>
      <c r="O17" s="56" t="s">
        <v>11</v>
      </c>
      <c r="P17" s="52"/>
      <c r="Q17" s="2">
        <f>7*18*3*5*3</f>
        <v>5670</v>
      </c>
      <c r="R17" s="47"/>
      <c r="S17" s="2">
        <f>7*18*3*5*3</f>
        <v>5670</v>
      </c>
      <c r="T17" s="47"/>
      <c r="U17" s="2">
        <f>7*18*3*5*3</f>
        <v>5670</v>
      </c>
      <c r="V17" s="47"/>
      <c r="W17" s="2">
        <f>7*18*3*5*3</f>
        <v>5670</v>
      </c>
    </row>
    <row r="18" spans="1:23" hidden="1" x14ac:dyDescent="0.25">
      <c r="A18" s="9" t="s">
        <v>49</v>
      </c>
      <c r="B18" s="49"/>
      <c r="C18" s="10"/>
      <c r="D18" s="47"/>
      <c r="F18" s="52"/>
      <c r="H18" s="52"/>
      <c r="J18" s="52"/>
      <c r="L18" s="52"/>
      <c r="N18" s="52"/>
      <c r="O18" s="52"/>
      <c r="P18" s="52"/>
      <c r="R18" s="47"/>
      <c r="T18" s="47"/>
      <c r="V18" s="47"/>
    </row>
    <row r="19" spans="1:23" hidden="1" x14ac:dyDescent="0.25">
      <c r="B19" s="47"/>
      <c r="D19" s="47"/>
      <c r="F19" s="52"/>
      <c r="H19" s="52"/>
      <c r="J19" s="52"/>
      <c r="L19" s="52"/>
      <c r="N19" s="52"/>
      <c r="O19" s="52"/>
      <c r="P19" s="52"/>
      <c r="R19" s="47"/>
      <c r="T19" s="47"/>
      <c r="V19" s="47"/>
    </row>
    <row r="20" spans="1:23" hidden="1" x14ac:dyDescent="0.25">
      <c r="A20" s="1" t="s">
        <v>10</v>
      </c>
      <c r="B20" s="47"/>
      <c r="D20" s="47"/>
      <c r="F20" s="52"/>
      <c r="H20" s="52"/>
      <c r="J20" s="52"/>
      <c r="L20" s="52"/>
      <c r="N20" s="52"/>
      <c r="O20" s="47" t="s">
        <v>10</v>
      </c>
      <c r="P20" s="52"/>
      <c r="R20" s="47"/>
      <c r="T20" s="47"/>
      <c r="V20" s="47"/>
    </row>
    <row r="21" spans="1:23" hidden="1" x14ac:dyDescent="0.25">
      <c r="A21" s="9" t="s">
        <v>12</v>
      </c>
      <c r="B21" s="49"/>
      <c r="C21" s="10"/>
      <c r="D21" s="47"/>
      <c r="E21" s="2">
        <f>(E15*0.0765)+(E15*0.214)</f>
        <v>29366.063999999998</v>
      </c>
      <c r="F21" s="52"/>
      <c r="G21" s="2">
        <f>(G15*0.0765)+(G15*0.214)</f>
        <v>24848.207999999999</v>
      </c>
      <c r="H21" s="52"/>
      <c r="I21" s="2">
        <f>(I15*0.0765)+(I15*0.214)</f>
        <v>18636.155999999999</v>
      </c>
      <c r="J21" s="52"/>
      <c r="K21" s="2">
        <f>(K15*0.0765)+(K15*0.214)</f>
        <v>16565.472000000002</v>
      </c>
      <c r="L21" s="52"/>
      <c r="M21" s="2">
        <f>(M15*0.0765)+(M15*0.214)</f>
        <v>12424.103999999999</v>
      </c>
      <c r="N21" s="52"/>
      <c r="O21" s="49" t="s">
        <v>12</v>
      </c>
      <c r="P21" s="52"/>
      <c r="Q21" s="2">
        <f>(Q15*0.0765)+(Q15*0.214)</f>
        <v>24848.207999999999</v>
      </c>
      <c r="R21" s="47"/>
      <c r="S21" s="2">
        <f>(S15*0.0765)+(S15*0.214)</f>
        <v>18636.155999999999</v>
      </c>
      <c r="T21" s="47"/>
      <c r="U21" s="2">
        <f>(U15*0.0765)+(U15*0.214)</f>
        <v>16565.472000000002</v>
      </c>
      <c r="V21" s="47"/>
      <c r="W21" s="2">
        <f>(W15*0.0765)+(W15*0.214)</f>
        <v>12424.103999999999</v>
      </c>
    </row>
    <row r="22" spans="1:23" hidden="1" x14ac:dyDescent="0.25">
      <c r="A22" s="9" t="s">
        <v>11</v>
      </c>
      <c r="B22" s="49"/>
      <c r="C22" s="10"/>
      <c r="D22" s="47"/>
      <c r="E22" s="2">
        <f>(E17*0.0765)+(E17*0.1693)</f>
        <v>1393.6860000000001</v>
      </c>
      <c r="F22" s="52"/>
      <c r="G22" s="2">
        <f>(G17*0.0765)+(G17*0.1693)</f>
        <v>1393.6860000000001</v>
      </c>
      <c r="H22" s="52"/>
      <c r="I22" s="2">
        <f>(I17*0.0765)+(I17*0.1693)</f>
        <v>1393.6860000000001</v>
      </c>
      <c r="J22" s="52"/>
      <c r="K22" s="2">
        <f>(K17*0.0765)+(K17*0.1693)</f>
        <v>1393.6860000000001</v>
      </c>
      <c r="L22" s="52"/>
      <c r="M22" s="2">
        <f>(M17*0.0765)+(M17*0.1693)</f>
        <v>1393.6860000000001</v>
      </c>
      <c r="N22" s="52"/>
      <c r="O22" s="49" t="s">
        <v>11</v>
      </c>
      <c r="P22" s="52"/>
      <c r="Q22" s="2">
        <f>(Q17*0.0765)+(Q17*0.214)</f>
        <v>1647.1349999999998</v>
      </c>
      <c r="R22" s="47"/>
      <c r="S22" s="2">
        <f>(S17*0.0765)+(S17*0.214)</f>
        <v>1647.1349999999998</v>
      </c>
      <c r="T22" s="47"/>
      <c r="U22" s="2">
        <f>(U17*0.0765)+(U17*0.214)</f>
        <v>1647.1349999999998</v>
      </c>
      <c r="V22" s="47"/>
      <c r="W22" s="2">
        <f>(W17*0.0765)+(W17*0.214)</f>
        <v>1647.1349999999998</v>
      </c>
    </row>
    <row r="23" spans="1:23" hidden="1" x14ac:dyDescent="0.25">
      <c r="B23" s="47"/>
      <c r="D23" s="47"/>
      <c r="F23" s="52"/>
      <c r="H23" s="52"/>
      <c r="J23" s="52"/>
      <c r="L23" s="52"/>
      <c r="N23" s="52"/>
      <c r="O23" s="52"/>
      <c r="P23" s="52"/>
      <c r="R23" s="47"/>
      <c r="T23" s="47"/>
      <c r="V23" s="47"/>
    </row>
    <row r="24" spans="1:23" hidden="1" x14ac:dyDescent="0.25">
      <c r="A24" s="1" t="s">
        <v>15</v>
      </c>
      <c r="B24" s="47"/>
      <c r="D24" s="47"/>
      <c r="F24" s="52"/>
      <c r="H24" s="52"/>
      <c r="J24" s="52"/>
      <c r="L24" s="52"/>
      <c r="N24" s="52"/>
      <c r="O24" s="47" t="s">
        <v>15</v>
      </c>
      <c r="P24" s="52"/>
      <c r="R24" s="47"/>
      <c r="T24" s="47"/>
      <c r="V24" s="47"/>
    </row>
    <row r="25" spans="1:23" hidden="1" x14ac:dyDescent="0.25">
      <c r="A25" s="9" t="s">
        <v>13</v>
      </c>
      <c r="B25" s="49"/>
      <c r="C25" s="10"/>
      <c r="D25" s="47"/>
      <c r="E25" s="2">
        <f>13*18*47</f>
        <v>10998</v>
      </c>
      <c r="F25" s="52"/>
      <c r="G25" s="2">
        <f>11*18*47</f>
        <v>9306</v>
      </c>
      <c r="H25" s="52"/>
      <c r="I25" s="2">
        <f>11*18*47</f>
        <v>9306</v>
      </c>
      <c r="J25" s="52"/>
      <c r="K25" s="2">
        <f>11*18*47</f>
        <v>9306</v>
      </c>
      <c r="L25" s="52"/>
      <c r="M25" s="2">
        <f>11*18*47</f>
        <v>9306</v>
      </c>
      <c r="N25" s="52"/>
      <c r="O25" s="49" t="s">
        <v>13</v>
      </c>
      <c r="P25" s="52"/>
      <c r="Q25" s="2">
        <f>11*18*47</f>
        <v>9306</v>
      </c>
      <c r="R25" s="47"/>
      <c r="S25" s="2">
        <f>11*18*47</f>
        <v>9306</v>
      </c>
      <c r="T25" s="47"/>
      <c r="U25" s="2">
        <f>11*18*47</f>
        <v>9306</v>
      </c>
      <c r="V25" s="47"/>
      <c r="W25" s="2">
        <f>11*18*47</f>
        <v>9306</v>
      </c>
    </row>
    <row r="26" spans="1:23" hidden="1" x14ac:dyDescent="0.25">
      <c r="A26" s="9" t="s">
        <v>14</v>
      </c>
      <c r="B26" s="49"/>
      <c r="C26" s="10"/>
      <c r="D26" s="47"/>
      <c r="E26" s="2">
        <f>(E25*0.0765)+(E25*0.214)</f>
        <v>3194.9189999999999</v>
      </c>
      <c r="F26" s="52"/>
      <c r="G26" s="2">
        <f>(G25*0.0765)+(G25*0.214)</f>
        <v>2703.393</v>
      </c>
      <c r="H26" s="52"/>
      <c r="I26" s="2">
        <f>(I25*0.0765)+(I25*0.214)</f>
        <v>2703.393</v>
      </c>
      <c r="J26" s="52"/>
      <c r="K26" s="2">
        <f>(K25*0.0765)+(K25*0.214)</f>
        <v>2703.393</v>
      </c>
      <c r="L26" s="52"/>
      <c r="M26" s="2">
        <f>(M25*0.0765)+(M25*0.214)</f>
        <v>2703.393</v>
      </c>
      <c r="N26" s="52"/>
      <c r="O26" s="49" t="s">
        <v>14</v>
      </c>
      <c r="P26" s="52"/>
      <c r="Q26" s="2">
        <f>(Q25*0.0765)+(Q25*0.214)</f>
        <v>2703.393</v>
      </c>
      <c r="R26" s="47"/>
      <c r="S26" s="2">
        <f>(S25*0.0765)+(S25*0.214)</f>
        <v>2703.393</v>
      </c>
      <c r="T26" s="47"/>
      <c r="U26" s="2">
        <f>(U25*0.0765)+(U25*0.214)</f>
        <v>2703.393</v>
      </c>
      <c r="V26" s="47"/>
      <c r="W26" s="2">
        <f>(W25*0.0765)+(W25*0.214)</f>
        <v>2703.393</v>
      </c>
    </row>
    <row r="27" spans="1:23" ht="75" hidden="1" x14ac:dyDescent="0.25">
      <c r="A27" s="11" t="s">
        <v>57</v>
      </c>
      <c r="B27" s="50"/>
      <c r="C27" s="12"/>
      <c r="D27" s="47"/>
      <c r="F27" s="52"/>
      <c r="H27" s="52"/>
      <c r="J27" s="52"/>
      <c r="L27" s="52"/>
      <c r="N27" s="52"/>
      <c r="O27" s="50" t="s">
        <v>57</v>
      </c>
      <c r="P27" s="52"/>
      <c r="R27" s="47"/>
      <c r="T27" s="47"/>
      <c r="V27" s="47"/>
    </row>
    <row r="28" spans="1:23" ht="30" x14ac:dyDescent="0.25">
      <c r="A28" s="34" t="s">
        <v>68</v>
      </c>
      <c r="B28" s="50"/>
      <c r="C28" s="12"/>
      <c r="D28" s="47"/>
      <c r="F28" s="52"/>
      <c r="H28" s="52"/>
      <c r="J28" s="52"/>
      <c r="L28" s="52"/>
      <c r="N28" s="52"/>
      <c r="O28" s="52"/>
      <c r="P28" s="52"/>
      <c r="R28" s="47"/>
      <c r="T28" s="47"/>
      <c r="V28" s="47"/>
    </row>
    <row r="29" spans="1:23" s="37" customFormat="1" x14ac:dyDescent="0.25">
      <c r="A29" s="41" t="s">
        <v>42</v>
      </c>
      <c r="B29" s="50"/>
      <c r="C29" s="42">
        <f>132013+23293</f>
        <v>155306</v>
      </c>
      <c r="D29" s="47"/>
      <c r="E29" s="40">
        <f>SUM(E15:E28)</f>
        <v>151710.66899999999</v>
      </c>
      <c r="F29" s="52"/>
      <c r="G29" s="40">
        <f>SUM(G15:G28)</f>
        <v>129457.287</v>
      </c>
      <c r="H29" s="52"/>
      <c r="I29" s="40">
        <f>SUM(I15:I28)</f>
        <v>101861.235</v>
      </c>
      <c r="J29" s="52"/>
      <c r="K29" s="40">
        <f>SUM(K15:K28)</f>
        <v>92662.551000000007</v>
      </c>
      <c r="L29" s="52"/>
      <c r="M29" s="40">
        <f>SUM(M15:M28)</f>
        <v>74265.183000000005</v>
      </c>
      <c r="N29" s="52"/>
      <c r="O29" s="57" t="s">
        <v>42</v>
      </c>
      <c r="P29" s="52"/>
      <c r="Q29" s="40">
        <f>SUM(Q15:Q28)</f>
        <v>129710.73599999999</v>
      </c>
      <c r="R29" s="47"/>
      <c r="S29" s="40">
        <f>SUM(S15:S28)</f>
        <v>102114.68399999999</v>
      </c>
      <c r="T29" s="47"/>
      <c r="U29" s="40">
        <f>SUM(U15:U28)</f>
        <v>92916</v>
      </c>
      <c r="V29" s="47"/>
      <c r="W29" s="40">
        <f>SUM(W15:W28)</f>
        <v>74518.631999999998</v>
      </c>
    </row>
    <row r="30" spans="1:23" x14ac:dyDescent="0.25">
      <c r="A30" s="9"/>
      <c r="B30" s="49"/>
      <c r="C30" s="10"/>
      <c r="D30" s="47"/>
      <c r="F30" s="52"/>
      <c r="H30" s="52"/>
      <c r="J30" s="52"/>
      <c r="L30" s="52"/>
      <c r="N30" s="52"/>
      <c r="O30" s="52"/>
      <c r="P30" s="52"/>
      <c r="R30" s="47"/>
      <c r="T30" s="47"/>
      <c r="V30" s="47"/>
    </row>
    <row r="31" spans="1:23" ht="18.75" x14ac:dyDescent="0.3">
      <c r="A31" s="6" t="s">
        <v>18</v>
      </c>
      <c r="B31" s="48"/>
      <c r="C31" s="7"/>
      <c r="D31" s="47"/>
      <c r="F31" s="52"/>
      <c r="H31" s="52"/>
      <c r="J31" s="52"/>
      <c r="L31" s="52"/>
      <c r="N31" s="52"/>
      <c r="O31" s="48" t="s">
        <v>18</v>
      </c>
      <c r="P31" s="52"/>
      <c r="R31" s="47"/>
      <c r="T31" s="47"/>
      <c r="V31" s="47"/>
    </row>
    <row r="32" spans="1:23" hidden="1" x14ac:dyDescent="0.25">
      <c r="A32" s="13" t="s">
        <v>16</v>
      </c>
      <c r="B32" s="51"/>
      <c r="C32" s="14"/>
      <c r="D32" s="47"/>
      <c r="F32" s="52"/>
      <c r="H32" s="52"/>
      <c r="J32" s="52"/>
      <c r="L32" s="52"/>
      <c r="N32" s="52"/>
      <c r="O32" s="51" t="s">
        <v>16</v>
      </c>
      <c r="P32" s="52"/>
      <c r="R32" s="47"/>
      <c r="T32" s="47"/>
      <c r="V32" s="47"/>
    </row>
    <row r="33" spans="1:23" hidden="1" x14ac:dyDescent="0.25">
      <c r="A33" s="9" t="s">
        <v>17</v>
      </c>
      <c r="B33" s="49"/>
      <c r="C33" s="10"/>
      <c r="D33" s="47"/>
      <c r="E33" s="2">
        <f>9*18*36*4</f>
        <v>23328</v>
      </c>
      <c r="F33" s="52"/>
      <c r="G33" s="2">
        <f>8*18*36*4</f>
        <v>20736</v>
      </c>
      <c r="H33" s="52"/>
      <c r="I33" s="2">
        <f>8*18*36*3</f>
        <v>15552</v>
      </c>
      <c r="J33" s="52"/>
      <c r="K33" s="2">
        <f>5.35*18*36*4</f>
        <v>13867.199999999999</v>
      </c>
      <c r="L33" s="52"/>
      <c r="M33" s="2">
        <f>5.35*18*36*3</f>
        <v>10400.4</v>
      </c>
      <c r="N33" s="52"/>
      <c r="O33" s="49" t="s">
        <v>17</v>
      </c>
      <c r="P33" s="52"/>
      <c r="Q33" s="2">
        <f>8*18*36*4</f>
        <v>20736</v>
      </c>
      <c r="R33" s="47"/>
      <c r="S33" s="2">
        <f>8*18*36*3</f>
        <v>15552</v>
      </c>
      <c r="T33" s="47"/>
      <c r="U33" s="2">
        <f>5.35*18*36*4</f>
        <v>13867.199999999999</v>
      </c>
      <c r="V33" s="47"/>
      <c r="W33" s="2">
        <f>5.35*18*36*3</f>
        <v>10400.4</v>
      </c>
    </row>
    <row r="34" spans="1:23" hidden="1" x14ac:dyDescent="0.25">
      <c r="A34" s="9" t="s">
        <v>11</v>
      </c>
      <c r="B34" s="49"/>
      <c r="C34" s="10"/>
      <c r="D34" s="47"/>
      <c r="E34" s="2">
        <f>5*18*5*3</f>
        <v>1350</v>
      </c>
      <c r="F34" s="52"/>
      <c r="G34" s="2">
        <f>5*18*5*3</f>
        <v>1350</v>
      </c>
      <c r="H34" s="52"/>
      <c r="I34" s="2">
        <f>5*18*5*3</f>
        <v>1350</v>
      </c>
      <c r="J34" s="52"/>
      <c r="K34" s="2">
        <f>5*18*5*3</f>
        <v>1350</v>
      </c>
      <c r="L34" s="52"/>
      <c r="M34" s="2">
        <f>5*18*5*3</f>
        <v>1350</v>
      </c>
      <c r="N34" s="52"/>
      <c r="O34" s="49" t="s">
        <v>11</v>
      </c>
      <c r="P34" s="52"/>
      <c r="Q34" s="2">
        <f>5*18*5*3</f>
        <v>1350</v>
      </c>
      <c r="R34" s="47"/>
      <c r="S34" s="2">
        <f>5*18*5*3</f>
        <v>1350</v>
      </c>
      <c r="T34" s="47"/>
      <c r="U34" s="2">
        <f>5*18*5*3</f>
        <v>1350</v>
      </c>
      <c r="V34" s="47"/>
      <c r="W34" s="2">
        <f>5*18*5*3</f>
        <v>1350</v>
      </c>
    </row>
    <row r="35" spans="1:23" hidden="1" x14ac:dyDescent="0.25">
      <c r="B35" s="47"/>
      <c r="D35" s="47"/>
      <c r="F35" s="52"/>
      <c r="H35" s="52"/>
      <c r="J35" s="52"/>
      <c r="L35" s="52"/>
      <c r="N35" s="52"/>
      <c r="O35" s="47"/>
      <c r="P35" s="52"/>
      <c r="R35" s="47"/>
      <c r="T35" s="47"/>
      <c r="V35" s="47"/>
    </row>
    <row r="36" spans="1:23" hidden="1" x14ac:dyDescent="0.25">
      <c r="A36" s="1" t="s">
        <v>20</v>
      </c>
      <c r="B36" s="47"/>
      <c r="D36" s="47"/>
      <c r="F36" s="52"/>
      <c r="H36" s="52"/>
      <c r="J36" s="52"/>
      <c r="L36" s="52"/>
      <c r="N36" s="52"/>
      <c r="O36" s="47" t="s">
        <v>52</v>
      </c>
      <c r="P36" s="52"/>
      <c r="R36" s="47"/>
      <c r="T36" s="47"/>
      <c r="V36" s="47"/>
    </row>
    <row r="37" spans="1:23" hidden="1" x14ac:dyDescent="0.25">
      <c r="A37" s="9" t="s">
        <v>21</v>
      </c>
      <c r="B37" s="49"/>
      <c r="C37" s="10"/>
      <c r="D37" s="47"/>
      <c r="E37" s="2">
        <f>200*5*10</f>
        <v>10000</v>
      </c>
      <c r="F37" s="52"/>
      <c r="G37" s="2">
        <v>0</v>
      </c>
      <c r="H37" s="52"/>
      <c r="I37" s="2">
        <v>0</v>
      </c>
      <c r="J37" s="52"/>
      <c r="K37" s="2">
        <v>0</v>
      </c>
      <c r="L37" s="52"/>
      <c r="M37" s="2">
        <v>0</v>
      </c>
      <c r="N37" s="52"/>
      <c r="O37" s="49"/>
      <c r="P37" s="52"/>
      <c r="R37" s="47"/>
      <c r="T37" s="47"/>
      <c r="V37" s="47"/>
    </row>
    <row r="38" spans="1:23" hidden="1" x14ac:dyDescent="0.25">
      <c r="B38" s="47"/>
      <c r="D38" s="47"/>
      <c r="F38" s="52"/>
      <c r="H38" s="52"/>
      <c r="J38" s="52"/>
      <c r="L38" s="52"/>
      <c r="N38" s="52"/>
      <c r="O38" s="47"/>
      <c r="P38" s="52"/>
      <c r="R38" s="47"/>
      <c r="T38" s="47"/>
      <c r="V38" s="47"/>
    </row>
    <row r="39" spans="1:23" hidden="1" x14ac:dyDescent="0.25">
      <c r="A39" s="1" t="s">
        <v>22</v>
      </c>
      <c r="B39" s="47"/>
      <c r="D39" s="47"/>
      <c r="F39" s="52"/>
      <c r="H39" s="52"/>
      <c r="J39" s="52"/>
      <c r="L39" s="52"/>
      <c r="N39" s="52"/>
      <c r="O39" s="47"/>
      <c r="P39" s="52"/>
      <c r="R39" s="47"/>
      <c r="T39" s="47"/>
      <c r="V39" s="47"/>
    </row>
    <row r="40" spans="1:23" hidden="1" x14ac:dyDescent="0.25">
      <c r="A40" s="9" t="s">
        <v>23</v>
      </c>
      <c r="B40" s="49"/>
      <c r="C40" s="10"/>
      <c r="D40" s="47"/>
      <c r="E40" s="2">
        <v>17955</v>
      </c>
      <c r="F40" s="52"/>
      <c r="G40" s="2">
        <v>0</v>
      </c>
      <c r="H40" s="52"/>
      <c r="I40" s="2">
        <v>0</v>
      </c>
      <c r="J40" s="52"/>
      <c r="K40" s="2">
        <v>0</v>
      </c>
      <c r="L40" s="52"/>
      <c r="M40" s="2">
        <v>0</v>
      </c>
      <c r="N40" s="52"/>
      <c r="O40" s="49"/>
      <c r="P40" s="52"/>
      <c r="R40" s="47"/>
      <c r="T40" s="47"/>
      <c r="V40" s="47"/>
    </row>
    <row r="41" spans="1:23" hidden="1" x14ac:dyDescent="0.25">
      <c r="B41" s="47"/>
      <c r="D41" s="47"/>
      <c r="F41" s="52"/>
      <c r="H41" s="52"/>
      <c r="J41" s="52"/>
      <c r="L41" s="52"/>
      <c r="N41" s="52"/>
      <c r="O41" s="47"/>
      <c r="P41" s="52"/>
      <c r="R41" s="47"/>
      <c r="T41" s="47"/>
      <c r="V41" s="47"/>
    </row>
    <row r="42" spans="1:23" hidden="1" x14ac:dyDescent="0.25">
      <c r="A42" s="1" t="s">
        <v>24</v>
      </c>
      <c r="B42" s="47"/>
      <c r="D42" s="47"/>
      <c r="F42" s="52"/>
      <c r="H42" s="52"/>
      <c r="J42" s="52"/>
      <c r="L42" s="52"/>
      <c r="N42" s="52"/>
      <c r="O42" s="47"/>
      <c r="P42" s="52"/>
      <c r="R42" s="47"/>
      <c r="T42" s="47"/>
      <c r="V42" s="47"/>
    </row>
    <row r="43" spans="1:23" hidden="1" x14ac:dyDescent="0.25">
      <c r="A43" s="9" t="s">
        <v>12</v>
      </c>
      <c r="B43" s="49"/>
      <c r="C43" s="10"/>
      <c r="D43" s="47"/>
      <c r="E43" s="2">
        <f>18*8*4*36</f>
        <v>20736</v>
      </c>
      <c r="F43" s="52"/>
      <c r="G43" s="2">
        <f>18*7*4*36</f>
        <v>18144</v>
      </c>
      <c r="H43" s="52"/>
      <c r="I43" s="2">
        <f>18*7*3*36</f>
        <v>13608</v>
      </c>
      <c r="J43" s="52"/>
      <c r="K43" s="2">
        <f>18*5.35*4*36</f>
        <v>13867.199999999999</v>
      </c>
      <c r="L43" s="52"/>
      <c r="M43" s="2">
        <f>18*5.35*3*36</f>
        <v>10400.4</v>
      </c>
      <c r="N43" s="52"/>
      <c r="O43" s="49"/>
      <c r="P43" s="52"/>
      <c r="R43" s="47"/>
      <c r="T43" s="47"/>
      <c r="V43" s="47"/>
    </row>
    <row r="44" spans="1:23" hidden="1" x14ac:dyDescent="0.25">
      <c r="A44" s="9" t="s">
        <v>11</v>
      </c>
      <c r="B44" s="49"/>
      <c r="C44" s="10"/>
      <c r="D44" s="47"/>
      <c r="E44" s="2">
        <f>18*5*5*3</f>
        <v>1350</v>
      </c>
      <c r="F44" s="52"/>
      <c r="G44" s="2">
        <f>18*5*5*3</f>
        <v>1350</v>
      </c>
      <c r="H44" s="52"/>
      <c r="I44" s="2">
        <f>18*5*5*3</f>
        <v>1350</v>
      </c>
      <c r="J44" s="52"/>
      <c r="K44" s="2">
        <f>18*5*5*3</f>
        <v>1350</v>
      </c>
      <c r="L44" s="52"/>
      <c r="M44" s="2">
        <f>18*5*5*3</f>
        <v>1350</v>
      </c>
      <c r="N44" s="52"/>
      <c r="O44" s="49"/>
      <c r="P44" s="52"/>
      <c r="R44" s="47"/>
      <c r="T44" s="47"/>
      <c r="V44" s="47"/>
    </row>
    <row r="45" spans="1:23" ht="30" x14ac:dyDescent="0.25">
      <c r="A45" s="34" t="s">
        <v>69</v>
      </c>
      <c r="B45" s="49"/>
      <c r="C45" s="10"/>
      <c r="D45" s="47"/>
      <c r="F45" s="52"/>
      <c r="H45" s="52"/>
      <c r="J45" s="52"/>
      <c r="L45" s="52"/>
      <c r="N45" s="52"/>
      <c r="O45" s="52"/>
      <c r="P45" s="52"/>
      <c r="R45" s="47"/>
      <c r="T45" s="47"/>
      <c r="V45" s="47"/>
    </row>
    <row r="46" spans="1:23" s="37" customFormat="1" x14ac:dyDescent="0.25">
      <c r="A46" s="39" t="s">
        <v>43</v>
      </c>
      <c r="B46" s="49"/>
      <c r="C46" s="44">
        <v>71160</v>
      </c>
      <c r="D46" s="47"/>
      <c r="E46" s="40">
        <f>SUM(E33:E45)</f>
        <v>74719</v>
      </c>
      <c r="F46" s="52"/>
      <c r="G46" s="40">
        <f>SUM(G33:G45)</f>
        <v>41580</v>
      </c>
      <c r="H46" s="52"/>
      <c r="I46" s="40">
        <f>SUM(I33:I45)</f>
        <v>31860</v>
      </c>
      <c r="J46" s="52"/>
      <c r="K46" s="40">
        <f>SUM(K33:K45)</f>
        <v>30434.399999999998</v>
      </c>
      <c r="L46" s="52"/>
      <c r="M46" s="40">
        <f>SUM(M33:M45)</f>
        <v>23500.799999999999</v>
      </c>
      <c r="N46" s="52"/>
      <c r="O46" s="55" t="s">
        <v>43</v>
      </c>
      <c r="P46" s="52"/>
      <c r="Q46" s="40">
        <f>SUM(Q33:Q45)</f>
        <v>22086</v>
      </c>
      <c r="R46" s="47"/>
      <c r="S46" s="40">
        <f>SUM(S33:S45)</f>
        <v>16902</v>
      </c>
      <c r="T46" s="47"/>
      <c r="U46" s="40">
        <f>SUM(U33:U45)</f>
        <v>15217.199999999999</v>
      </c>
      <c r="V46" s="47"/>
      <c r="W46" s="40">
        <f>SUM(W33:W45)</f>
        <v>11750.4</v>
      </c>
    </row>
    <row r="47" spans="1:23" x14ac:dyDescent="0.25">
      <c r="B47" s="47"/>
      <c r="D47" s="47"/>
      <c r="F47" s="52"/>
      <c r="H47" s="52"/>
      <c r="J47" s="52"/>
      <c r="L47" s="52"/>
      <c r="N47" s="52"/>
      <c r="O47" s="52"/>
      <c r="P47" s="52"/>
      <c r="R47" s="47"/>
      <c r="T47" s="47"/>
      <c r="V47" s="47"/>
    </row>
    <row r="48" spans="1:23" ht="18.75" x14ac:dyDescent="0.3">
      <c r="A48" s="6" t="s">
        <v>25</v>
      </c>
      <c r="B48" s="48"/>
      <c r="C48" s="7"/>
      <c r="D48" s="47"/>
      <c r="F48" s="47"/>
      <c r="H48" s="47"/>
      <c r="J48" s="47"/>
      <c r="L48" s="47"/>
      <c r="N48" s="52"/>
      <c r="O48" s="48" t="s">
        <v>25</v>
      </c>
      <c r="P48" s="47"/>
      <c r="R48" s="47"/>
      <c r="T48" s="47"/>
      <c r="V48" s="47"/>
    </row>
    <row r="49" spans="1:23" hidden="1" x14ac:dyDescent="0.25">
      <c r="B49" s="47"/>
      <c r="D49" s="47"/>
      <c r="F49" s="47"/>
      <c r="H49" s="47"/>
      <c r="J49" s="47"/>
      <c r="L49" s="47"/>
      <c r="N49" s="52"/>
      <c r="O49" s="52"/>
      <c r="P49" s="47"/>
      <c r="R49" s="47"/>
      <c r="T49" s="47"/>
      <c r="V49" s="47"/>
    </row>
    <row r="50" spans="1:23" hidden="1" x14ac:dyDescent="0.25">
      <c r="A50" s="1" t="s">
        <v>27</v>
      </c>
      <c r="B50" s="47"/>
      <c r="D50" s="47"/>
      <c r="E50" s="2">
        <v>2000</v>
      </c>
      <c r="F50" s="47"/>
      <c r="G50" s="2">
        <f>(E50/130)*120</f>
        <v>1846.1538461538462</v>
      </c>
      <c r="H50" s="47"/>
      <c r="I50" s="2">
        <v>1846.1538461538462</v>
      </c>
      <c r="J50" s="47"/>
      <c r="K50" s="2">
        <v>1846.1538461538462</v>
      </c>
      <c r="L50" s="47"/>
      <c r="M50" s="2">
        <v>1846.1538461538462</v>
      </c>
      <c r="N50" s="52"/>
      <c r="O50" s="47" t="s">
        <v>27</v>
      </c>
      <c r="P50" s="47"/>
      <c r="Q50" s="2">
        <v>1846.1538461538462</v>
      </c>
      <c r="R50" s="47"/>
      <c r="S50" s="2">
        <v>1846.1538461538462</v>
      </c>
      <c r="T50" s="47"/>
      <c r="U50" s="2">
        <v>1846.1538461538462</v>
      </c>
      <c r="V50" s="47"/>
      <c r="W50" s="2">
        <v>1846.1538461538462</v>
      </c>
    </row>
    <row r="51" spans="1:23" hidden="1" x14ac:dyDescent="0.25">
      <c r="A51" s="1" t="s">
        <v>26</v>
      </c>
      <c r="B51" s="47"/>
      <c r="D51" s="47"/>
      <c r="E51" s="2">
        <v>7000</v>
      </c>
      <c r="F51" s="47"/>
      <c r="G51" s="2">
        <f>(E51/130)*120</f>
        <v>6461.5384615384619</v>
      </c>
      <c r="H51" s="47"/>
      <c r="I51" s="2">
        <v>6461.5384615384619</v>
      </c>
      <c r="J51" s="47"/>
      <c r="K51" s="2">
        <v>6461.5384615384619</v>
      </c>
      <c r="L51" s="47"/>
      <c r="M51" s="2">
        <v>6461.5384615384619</v>
      </c>
      <c r="N51" s="52"/>
      <c r="O51" s="47" t="s">
        <v>26</v>
      </c>
      <c r="P51" s="47"/>
      <c r="Q51" s="2">
        <v>6461.5384615384619</v>
      </c>
      <c r="R51" s="47"/>
      <c r="S51" s="2">
        <v>6461.5384615384619</v>
      </c>
      <c r="T51" s="47"/>
      <c r="U51" s="2">
        <v>6461.5384615384619</v>
      </c>
      <c r="V51" s="47"/>
      <c r="W51" s="2">
        <v>6461.5384615384619</v>
      </c>
    </row>
    <row r="52" spans="1:23" hidden="1" x14ac:dyDescent="0.25">
      <c r="A52" s="1" t="s">
        <v>28</v>
      </c>
      <c r="B52" s="47"/>
      <c r="D52" s="47"/>
      <c r="E52" s="2">
        <v>7500</v>
      </c>
      <c r="F52" s="47"/>
      <c r="G52" s="2">
        <f>(E52/130)*120</f>
        <v>6923.0769230769229</v>
      </c>
      <c r="H52" s="47"/>
      <c r="I52" s="2">
        <v>6923.0769230769229</v>
      </c>
      <c r="J52" s="47"/>
      <c r="K52" s="2">
        <v>6923.0769230769229</v>
      </c>
      <c r="L52" s="47"/>
      <c r="M52" s="2">
        <v>6923.0769230769229</v>
      </c>
      <c r="N52" s="52"/>
      <c r="O52" s="47" t="s">
        <v>28</v>
      </c>
      <c r="P52" s="47"/>
      <c r="Q52" s="2">
        <v>6923.0769230769229</v>
      </c>
      <c r="R52" s="47"/>
      <c r="S52" s="2">
        <v>6923.0769230769229</v>
      </c>
      <c r="T52" s="47"/>
      <c r="U52" s="2">
        <v>6923.0769230769229</v>
      </c>
      <c r="V52" s="47"/>
      <c r="W52" s="2">
        <v>6923.0769230769229</v>
      </c>
    </row>
    <row r="53" spans="1:23" hidden="1" x14ac:dyDescent="0.25">
      <c r="A53" s="1" t="s">
        <v>29</v>
      </c>
      <c r="B53" s="47"/>
      <c r="D53" s="47"/>
      <c r="E53" s="2">
        <f>(E50+E51+E52)*0.1</f>
        <v>1650</v>
      </c>
      <c r="F53" s="47"/>
      <c r="G53" s="2">
        <f>(G50+G51+G52)*0.1</f>
        <v>1523.0769230769231</v>
      </c>
      <c r="H53" s="47"/>
      <c r="I53" s="2">
        <f>(I50+I51+I52)*0.1</f>
        <v>1523.0769230769231</v>
      </c>
      <c r="J53" s="47"/>
      <c r="K53" s="2">
        <f>(K50+K51+K52)*0.1</f>
        <v>1523.0769230769231</v>
      </c>
      <c r="L53" s="47"/>
      <c r="M53" s="2">
        <f>(M50+M51+M52)*0.1</f>
        <v>1523.0769230769231</v>
      </c>
      <c r="N53" s="52"/>
      <c r="O53" s="47" t="s">
        <v>29</v>
      </c>
      <c r="P53" s="47"/>
      <c r="Q53" s="2">
        <v>1523.0769230769231</v>
      </c>
      <c r="R53" s="47"/>
      <c r="S53" s="2">
        <v>1523.0769230769231</v>
      </c>
      <c r="T53" s="47"/>
      <c r="U53" s="2">
        <v>1523.0769230769231</v>
      </c>
      <c r="V53" s="47"/>
      <c r="W53" s="2">
        <v>1523.0769230769231</v>
      </c>
    </row>
    <row r="54" spans="1:23" x14ac:dyDescent="0.25">
      <c r="B54" s="47"/>
      <c r="D54" s="47"/>
      <c r="F54" s="47"/>
      <c r="H54" s="47"/>
      <c r="J54" s="47"/>
      <c r="L54" s="47"/>
      <c r="N54" s="52"/>
      <c r="O54" s="52"/>
      <c r="P54" s="47"/>
      <c r="R54" s="47"/>
      <c r="T54" s="47"/>
      <c r="V54" s="47"/>
    </row>
    <row r="55" spans="1:23" s="37" customFormat="1" x14ac:dyDescent="0.25">
      <c r="A55" s="39" t="s">
        <v>44</v>
      </c>
      <c r="B55" s="47"/>
      <c r="C55" s="40">
        <v>19034</v>
      </c>
      <c r="D55" s="47"/>
      <c r="E55" s="40">
        <f>SUM(E50:E54)</f>
        <v>18150</v>
      </c>
      <c r="F55" s="47"/>
      <c r="G55" s="40">
        <f>SUM(G50:G54)</f>
        <v>16753.846153846152</v>
      </c>
      <c r="H55" s="47"/>
      <c r="I55" s="40">
        <f>SUM(I50:I54)</f>
        <v>16753.846153846152</v>
      </c>
      <c r="J55" s="47"/>
      <c r="K55" s="40">
        <f>SUM(K50:K54)</f>
        <v>16753.846153846152</v>
      </c>
      <c r="L55" s="47"/>
      <c r="M55" s="40">
        <f>SUM(M50:M54)</f>
        <v>16753.846153846152</v>
      </c>
      <c r="N55" s="52"/>
      <c r="O55" s="55" t="s">
        <v>44</v>
      </c>
      <c r="P55" s="47"/>
      <c r="Q55" s="40">
        <f>SUM(Q50:Q54)</f>
        <v>16753.846153846152</v>
      </c>
      <c r="R55" s="47"/>
      <c r="S55" s="40">
        <f>SUM(S50:S54)</f>
        <v>16753.846153846152</v>
      </c>
      <c r="T55" s="47"/>
      <c r="U55" s="40">
        <f>SUM(U50:U54)</f>
        <v>16753.846153846152</v>
      </c>
      <c r="V55" s="47"/>
      <c r="W55" s="40">
        <f>SUM(W50:W54)</f>
        <v>16753.846153846152</v>
      </c>
    </row>
    <row r="56" spans="1:23" x14ac:dyDescent="0.25">
      <c r="B56" s="47"/>
      <c r="D56" s="47"/>
      <c r="F56" s="47"/>
      <c r="H56" s="47"/>
      <c r="J56" s="47"/>
      <c r="L56" s="47"/>
      <c r="N56" s="52"/>
      <c r="O56" s="52"/>
      <c r="P56" s="47"/>
      <c r="R56" s="47"/>
      <c r="T56" s="47"/>
      <c r="V56" s="47"/>
    </row>
    <row r="57" spans="1:23" ht="18.75" x14ac:dyDescent="0.3">
      <c r="A57" s="6" t="s">
        <v>30</v>
      </c>
      <c r="B57" s="48"/>
      <c r="C57" s="7"/>
      <c r="D57" s="47"/>
      <c r="F57" s="47"/>
      <c r="H57" s="47"/>
      <c r="J57" s="47"/>
      <c r="L57" s="47"/>
      <c r="N57" s="52"/>
      <c r="O57" s="48" t="s">
        <v>30</v>
      </c>
      <c r="P57" s="47"/>
      <c r="R57" s="47"/>
      <c r="T57" s="47"/>
      <c r="V57" s="47"/>
    </row>
    <row r="58" spans="1:23" hidden="1" x14ac:dyDescent="0.25">
      <c r="B58" s="47"/>
      <c r="D58" s="47"/>
      <c r="F58" s="47"/>
      <c r="H58" s="47"/>
      <c r="J58" s="47"/>
      <c r="L58" s="47"/>
      <c r="N58" s="52"/>
      <c r="O58" s="52"/>
      <c r="P58" s="47"/>
      <c r="R58" s="47"/>
      <c r="T58" s="47"/>
      <c r="V58" s="47"/>
    </row>
    <row r="59" spans="1:23" hidden="1" x14ac:dyDescent="0.25">
      <c r="A59" s="1" t="s">
        <v>31</v>
      </c>
      <c r="B59" s="47"/>
      <c r="D59" s="47"/>
      <c r="E59" s="2">
        <f>12*27</f>
        <v>324</v>
      </c>
      <c r="F59" s="47"/>
      <c r="G59" s="2">
        <f>12*27</f>
        <v>324</v>
      </c>
      <c r="H59" s="47"/>
      <c r="I59" s="2">
        <f>12*27</f>
        <v>324</v>
      </c>
      <c r="J59" s="47"/>
      <c r="K59" s="2">
        <f>12*27</f>
        <v>324</v>
      </c>
      <c r="L59" s="47"/>
      <c r="M59" s="2">
        <f>12*27</f>
        <v>324</v>
      </c>
      <c r="N59" s="52"/>
      <c r="O59" s="47" t="s">
        <v>31</v>
      </c>
      <c r="P59" s="47"/>
      <c r="Q59" s="2">
        <f>12*27</f>
        <v>324</v>
      </c>
      <c r="R59" s="47"/>
      <c r="S59" s="2">
        <f>12*27</f>
        <v>324</v>
      </c>
      <c r="T59" s="47"/>
      <c r="U59" s="2">
        <f>12*27</f>
        <v>324</v>
      </c>
      <c r="V59" s="47"/>
      <c r="W59" s="2">
        <f>12*27</f>
        <v>324</v>
      </c>
    </row>
    <row r="60" spans="1:23" hidden="1" x14ac:dyDescent="0.25">
      <c r="A60" s="1" t="s">
        <v>32</v>
      </c>
      <c r="B60" s="47"/>
      <c r="D60" s="47"/>
      <c r="E60" s="2">
        <f>499.94+5</f>
        <v>504.94</v>
      </c>
      <c r="F60" s="47"/>
      <c r="G60" s="2">
        <f>(E60/5)*4</f>
        <v>403.952</v>
      </c>
      <c r="H60" s="47"/>
      <c r="I60" s="2">
        <v>403.952</v>
      </c>
      <c r="J60" s="47"/>
      <c r="K60" s="2">
        <v>403.952</v>
      </c>
      <c r="L60" s="47"/>
      <c r="M60" s="2">
        <v>403.952</v>
      </c>
      <c r="N60" s="52"/>
      <c r="O60" s="47" t="s">
        <v>32</v>
      </c>
      <c r="P60" s="47"/>
      <c r="Q60" s="2">
        <v>403.952</v>
      </c>
      <c r="R60" s="47"/>
      <c r="S60" s="2">
        <v>403.952</v>
      </c>
      <c r="T60" s="47"/>
      <c r="U60" s="2">
        <v>403.952</v>
      </c>
      <c r="V60" s="47"/>
      <c r="W60" s="2">
        <v>403.952</v>
      </c>
    </row>
    <row r="61" spans="1:23" hidden="1" x14ac:dyDescent="0.25">
      <c r="A61" s="1" t="s">
        <v>33</v>
      </c>
      <c r="B61" s="47"/>
      <c r="D61" s="47"/>
      <c r="E61" s="2">
        <v>750</v>
      </c>
      <c r="F61" s="47"/>
      <c r="G61" s="2">
        <v>700</v>
      </c>
      <c r="H61" s="47"/>
      <c r="I61" s="2">
        <v>700</v>
      </c>
      <c r="J61" s="47"/>
      <c r="K61" s="2">
        <v>700</v>
      </c>
      <c r="L61" s="47"/>
      <c r="M61" s="2">
        <v>700</v>
      </c>
      <c r="N61" s="52"/>
      <c r="O61" s="47" t="s">
        <v>33</v>
      </c>
      <c r="P61" s="47"/>
      <c r="Q61" s="2">
        <v>700</v>
      </c>
      <c r="R61" s="47"/>
      <c r="S61" s="2">
        <v>700</v>
      </c>
      <c r="T61" s="47"/>
      <c r="U61" s="2">
        <v>700</v>
      </c>
      <c r="V61" s="47"/>
      <c r="W61" s="2">
        <v>700</v>
      </c>
    </row>
    <row r="62" spans="1:23" x14ac:dyDescent="0.25">
      <c r="A62" s="1" t="s">
        <v>70</v>
      </c>
      <c r="B62" s="47"/>
      <c r="D62" s="47"/>
      <c r="F62" s="47"/>
      <c r="H62" s="47"/>
      <c r="J62" s="47"/>
      <c r="L62" s="47"/>
      <c r="N62" s="52"/>
      <c r="O62" s="52"/>
      <c r="P62" s="47"/>
      <c r="R62" s="47"/>
      <c r="T62" s="47"/>
      <c r="V62" s="47"/>
    </row>
    <row r="63" spans="1:23" s="37" customFormat="1" x14ac:dyDescent="0.25">
      <c r="A63" s="39" t="s">
        <v>45</v>
      </c>
      <c r="B63" s="47"/>
      <c r="C63" s="40">
        <v>900</v>
      </c>
      <c r="D63" s="47"/>
      <c r="E63" s="40">
        <f>SUM(E59:E62)</f>
        <v>1578.94</v>
      </c>
      <c r="F63" s="47"/>
      <c r="G63" s="40">
        <f>SUM(G59:G62)</f>
        <v>1427.952</v>
      </c>
      <c r="H63" s="47"/>
      <c r="I63" s="40">
        <f>SUM(I59:I62)</f>
        <v>1427.952</v>
      </c>
      <c r="J63" s="47"/>
      <c r="K63" s="40">
        <f>SUM(K59:K62)</f>
        <v>1427.952</v>
      </c>
      <c r="L63" s="47"/>
      <c r="M63" s="40">
        <f>SUM(M59:M62)</f>
        <v>1427.952</v>
      </c>
      <c r="N63" s="52"/>
      <c r="O63" s="55" t="s">
        <v>45</v>
      </c>
      <c r="P63" s="47"/>
      <c r="Q63" s="40">
        <f>SUM(Q60:Q62)</f>
        <v>1103.952</v>
      </c>
      <c r="R63" s="47"/>
      <c r="S63" s="40">
        <f>SUM(S60:S62)</f>
        <v>1103.952</v>
      </c>
      <c r="T63" s="47"/>
      <c r="U63" s="40">
        <f>SUM(U60:U62)</f>
        <v>1103.952</v>
      </c>
      <c r="V63" s="47"/>
      <c r="W63" s="40">
        <f>SUM(W60:W62)</f>
        <v>1103.952</v>
      </c>
    </row>
    <row r="64" spans="1:23" x14ac:dyDescent="0.25">
      <c r="B64" s="47"/>
      <c r="D64" s="47"/>
      <c r="F64" s="47"/>
      <c r="H64" s="47"/>
      <c r="J64" s="47"/>
      <c r="L64" s="47"/>
      <c r="N64" s="52"/>
      <c r="O64" s="52"/>
      <c r="P64" s="47"/>
      <c r="R64" s="47"/>
      <c r="T64" s="47"/>
      <c r="V64" s="47"/>
    </row>
    <row r="65" spans="1:23" ht="18.75" x14ac:dyDescent="0.3">
      <c r="A65" s="6" t="s">
        <v>34</v>
      </c>
      <c r="B65" s="48"/>
      <c r="C65" s="7"/>
      <c r="D65" s="47"/>
      <c r="F65" s="47"/>
      <c r="H65" s="47"/>
      <c r="J65" s="47"/>
      <c r="L65" s="47"/>
      <c r="N65" s="52"/>
      <c r="O65" s="48" t="s">
        <v>34</v>
      </c>
      <c r="P65" s="47"/>
      <c r="R65" s="47"/>
      <c r="T65" s="47"/>
      <c r="V65" s="47"/>
    </row>
    <row r="66" spans="1:23" x14ac:dyDescent="0.25">
      <c r="B66" s="47"/>
      <c r="D66" s="47"/>
      <c r="F66" s="47"/>
      <c r="H66" s="47"/>
      <c r="J66" s="47"/>
      <c r="L66" s="47"/>
      <c r="N66" s="52"/>
      <c r="O66" s="52"/>
      <c r="P66" s="47"/>
      <c r="R66" s="47"/>
      <c r="T66" s="47"/>
      <c r="V66" s="47"/>
    </row>
    <row r="67" spans="1:23" hidden="1" x14ac:dyDescent="0.25">
      <c r="A67" s="1" t="s">
        <v>35</v>
      </c>
      <c r="B67" s="47"/>
      <c r="D67" s="47"/>
      <c r="E67" s="2">
        <f>150*12</f>
        <v>1800</v>
      </c>
      <c r="F67" s="47"/>
      <c r="G67" s="2">
        <f>100*12</f>
        <v>1200</v>
      </c>
      <c r="H67" s="47"/>
      <c r="I67" s="2">
        <f>100*12</f>
        <v>1200</v>
      </c>
      <c r="J67" s="47"/>
      <c r="K67" s="2">
        <f>100*12</f>
        <v>1200</v>
      </c>
      <c r="L67" s="47"/>
      <c r="M67" s="2">
        <f>100*12</f>
        <v>1200</v>
      </c>
      <c r="N67" s="52"/>
      <c r="O67" s="52" t="s">
        <v>56</v>
      </c>
      <c r="P67" s="47"/>
      <c r="Q67" s="2">
        <f>25*10</f>
        <v>250</v>
      </c>
      <c r="R67" s="47"/>
      <c r="S67" s="2">
        <f>25*10</f>
        <v>250</v>
      </c>
      <c r="T67" s="47"/>
      <c r="U67" s="2">
        <f>25*10</f>
        <v>250</v>
      </c>
      <c r="V67" s="47"/>
      <c r="W67" s="2">
        <f>25*10</f>
        <v>250</v>
      </c>
    </row>
    <row r="68" spans="1:23" hidden="1" x14ac:dyDescent="0.25">
      <c r="A68" s="1" t="s">
        <v>39</v>
      </c>
      <c r="B68" s="47"/>
      <c r="D68" s="47"/>
      <c r="E68" s="2">
        <v>4000</v>
      </c>
      <c r="F68" s="47"/>
      <c r="G68" s="2">
        <v>0</v>
      </c>
      <c r="H68" s="47"/>
      <c r="I68" s="2">
        <v>0</v>
      </c>
      <c r="J68" s="47"/>
      <c r="K68" s="2">
        <v>0</v>
      </c>
      <c r="L68" s="47"/>
      <c r="M68" s="2">
        <v>0</v>
      </c>
      <c r="N68" s="52"/>
      <c r="O68" s="52"/>
      <c r="P68" s="47"/>
      <c r="R68" s="47"/>
      <c r="T68" s="47"/>
      <c r="V68" s="47"/>
    </row>
    <row r="69" spans="1:23" hidden="1" x14ac:dyDescent="0.25">
      <c r="A69" s="1" t="s">
        <v>71</v>
      </c>
      <c r="B69" s="47"/>
      <c r="D69" s="47"/>
      <c r="F69" s="47"/>
      <c r="H69" s="47"/>
      <c r="J69" s="47"/>
      <c r="L69" s="47"/>
      <c r="N69" s="52"/>
      <c r="O69" s="52"/>
      <c r="P69" s="47"/>
      <c r="R69" s="47"/>
      <c r="T69" s="47"/>
      <c r="V69" s="47"/>
    </row>
    <row r="70" spans="1:23" s="37" customFormat="1" x14ac:dyDescent="0.25">
      <c r="A70" s="39" t="s">
        <v>46</v>
      </c>
      <c r="B70" s="47"/>
      <c r="C70" s="40">
        <v>2125</v>
      </c>
      <c r="D70" s="47"/>
      <c r="E70" s="40">
        <f>SUM(E67:E69)</f>
        <v>5800</v>
      </c>
      <c r="F70" s="47"/>
      <c r="G70" s="40">
        <f>SUM(G67:G69)</f>
        <v>1200</v>
      </c>
      <c r="H70" s="47"/>
      <c r="I70" s="40">
        <f>SUM(I67:I69)</f>
        <v>1200</v>
      </c>
      <c r="J70" s="47"/>
      <c r="K70" s="40">
        <f>SUM(K67:K69)</f>
        <v>1200</v>
      </c>
      <c r="L70" s="47"/>
      <c r="M70" s="40">
        <f>SUM(M67:M69)</f>
        <v>1200</v>
      </c>
      <c r="N70" s="52"/>
      <c r="O70" s="55" t="s">
        <v>46</v>
      </c>
      <c r="P70" s="47"/>
      <c r="Q70" s="40">
        <f>SUM(Q67:Q69)</f>
        <v>250</v>
      </c>
      <c r="R70" s="47"/>
      <c r="S70" s="40">
        <f>SUM(S67:S69)</f>
        <v>250</v>
      </c>
      <c r="T70" s="47"/>
      <c r="U70" s="40">
        <f>SUM(U67:U69)</f>
        <v>250</v>
      </c>
      <c r="V70" s="47"/>
      <c r="W70" s="40">
        <f>SUM(W67:W69)</f>
        <v>250</v>
      </c>
    </row>
    <row r="71" spans="1:23" x14ac:dyDescent="0.25">
      <c r="B71" s="47"/>
      <c r="D71" s="47"/>
      <c r="F71" s="47"/>
      <c r="H71" s="47"/>
      <c r="J71" s="47"/>
      <c r="L71" s="47"/>
      <c r="N71" s="52"/>
      <c r="O71" s="52"/>
      <c r="P71" s="47"/>
      <c r="R71" s="47"/>
      <c r="T71" s="47"/>
      <c r="V71" s="47"/>
    </row>
    <row r="72" spans="1:23" ht="18.75" x14ac:dyDescent="0.3">
      <c r="A72" s="6" t="s">
        <v>37</v>
      </c>
      <c r="B72" s="48"/>
      <c r="C72" s="7"/>
      <c r="D72" s="47"/>
      <c r="F72" s="47"/>
      <c r="H72" s="47"/>
      <c r="J72" s="47"/>
      <c r="L72" s="47"/>
      <c r="N72" s="52"/>
      <c r="O72" s="48" t="s">
        <v>37</v>
      </c>
      <c r="P72" s="47"/>
      <c r="R72" s="47"/>
      <c r="T72" s="47"/>
      <c r="V72" s="47"/>
    </row>
    <row r="73" spans="1:23" hidden="1" x14ac:dyDescent="0.25">
      <c r="A73" s="1" t="s">
        <v>38</v>
      </c>
      <c r="B73" s="47"/>
      <c r="D73" s="47"/>
      <c r="E73" s="2">
        <v>3500</v>
      </c>
      <c r="F73" s="47"/>
      <c r="G73" s="2">
        <v>0</v>
      </c>
      <c r="H73" s="47"/>
      <c r="I73" s="2">
        <v>0</v>
      </c>
      <c r="J73" s="47"/>
      <c r="K73" s="2">
        <v>0</v>
      </c>
      <c r="L73" s="47"/>
      <c r="M73" s="2">
        <v>0</v>
      </c>
      <c r="N73" s="52"/>
      <c r="O73" s="52"/>
      <c r="P73" s="47"/>
      <c r="R73" s="47"/>
      <c r="T73" s="47"/>
      <c r="V73" s="47"/>
    </row>
    <row r="74" spans="1:23" hidden="1" x14ac:dyDescent="0.25">
      <c r="A74" s="1" t="s">
        <v>58</v>
      </c>
      <c r="B74" s="47"/>
      <c r="D74" s="47"/>
      <c r="E74" s="2">
        <f>13*18*11</f>
        <v>2574</v>
      </c>
      <c r="F74" s="47"/>
      <c r="G74" s="2">
        <f>13*18*11</f>
        <v>2574</v>
      </c>
      <c r="H74" s="47"/>
      <c r="I74" s="2">
        <f>13*18*11</f>
        <v>2574</v>
      </c>
      <c r="J74" s="47"/>
      <c r="K74" s="2">
        <f>13*18*11</f>
        <v>2574</v>
      </c>
      <c r="L74" s="47"/>
      <c r="M74" s="2">
        <f>13*18*11</f>
        <v>2574</v>
      </c>
      <c r="N74" s="52"/>
      <c r="O74" s="47" t="s">
        <v>58</v>
      </c>
      <c r="P74" s="47"/>
      <c r="Q74" s="2">
        <f>13*18*11</f>
        <v>2574</v>
      </c>
      <c r="R74" s="47"/>
      <c r="S74" s="2">
        <f>13*18*11</f>
        <v>2574</v>
      </c>
      <c r="T74" s="47"/>
      <c r="U74" s="2">
        <f>13*18*11</f>
        <v>2574</v>
      </c>
      <c r="V74" s="47"/>
      <c r="W74" s="2">
        <f>13*18*11</f>
        <v>2574</v>
      </c>
    </row>
    <row r="75" spans="1:23" hidden="1" x14ac:dyDescent="0.25">
      <c r="A75" s="9" t="s">
        <v>14</v>
      </c>
      <c r="B75" s="47"/>
      <c r="D75" s="47"/>
      <c r="E75" s="2">
        <f>(E74*0.0765)+(E74*0.1693)</f>
        <v>632.68920000000003</v>
      </c>
      <c r="F75" s="47"/>
      <c r="G75" s="2">
        <f>(G74*0.0765)+(G74*0.1693)</f>
        <v>632.68920000000003</v>
      </c>
      <c r="H75" s="47"/>
      <c r="I75" s="2">
        <f>(I74*0.0765)+(I74*0.1693)</f>
        <v>632.68920000000003</v>
      </c>
      <c r="J75" s="47"/>
      <c r="K75" s="2">
        <f>(K74*0.0765)+(K74*0.1693)</f>
        <v>632.68920000000003</v>
      </c>
      <c r="L75" s="47"/>
      <c r="M75" s="2">
        <f>(M74*0.0765)+(M74*0.1693)</f>
        <v>632.68920000000003</v>
      </c>
      <c r="N75" s="52"/>
      <c r="O75" s="49" t="s">
        <v>14</v>
      </c>
      <c r="P75" s="47"/>
      <c r="Q75" s="2">
        <f>(Q74*0.0765)+(Q74*0.1693)</f>
        <v>632.68920000000003</v>
      </c>
      <c r="R75" s="47"/>
      <c r="S75" s="2">
        <f>(S74*0.0765)+(S74*0.1693)</f>
        <v>632.68920000000003</v>
      </c>
      <c r="T75" s="47"/>
      <c r="U75" s="2">
        <f>(U74*0.0765)+(U74*0.1693)</f>
        <v>632.68920000000003</v>
      </c>
      <c r="V75" s="47"/>
      <c r="W75" s="2">
        <f>(W74*0.0765)+(W74*0.1693)</f>
        <v>632.68920000000003</v>
      </c>
    </row>
    <row r="76" spans="1:23" x14ac:dyDescent="0.25">
      <c r="B76" s="47"/>
      <c r="D76" s="47"/>
      <c r="F76" s="47"/>
      <c r="H76" s="47"/>
      <c r="J76" s="47"/>
      <c r="L76" s="47"/>
      <c r="N76" s="52"/>
      <c r="O76" s="52"/>
      <c r="P76" s="47"/>
      <c r="R76" s="47"/>
      <c r="T76" s="47"/>
      <c r="V76" s="47"/>
    </row>
    <row r="77" spans="1:23" s="37" customFormat="1" x14ac:dyDescent="0.25">
      <c r="A77" s="39" t="s">
        <v>47</v>
      </c>
      <c r="B77" s="47"/>
      <c r="C77" s="40">
        <v>6500</v>
      </c>
      <c r="D77" s="47"/>
      <c r="E77" s="40">
        <f>SUM(E73:E74)</f>
        <v>6074</v>
      </c>
      <c r="F77" s="47"/>
      <c r="G77" s="40">
        <f>SUM(G73:G74)</f>
        <v>2574</v>
      </c>
      <c r="H77" s="47"/>
      <c r="I77" s="40">
        <f>SUM(I73:I74)</f>
        <v>2574</v>
      </c>
      <c r="J77" s="47"/>
      <c r="K77" s="40">
        <f>SUM(K73:K74)</f>
        <v>2574</v>
      </c>
      <c r="L77" s="47"/>
      <c r="M77" s="40">
        <f>SUM(M73:M74)</f>
        <v>2574</v>
      </c>
      <c r="N77" s="52"/>
      <c r="O77" s="55" t="s">
        <v>47</v>
      </c>
      <c r="P77" s="47"/>
      <c r="Q77" s="40">
        <f>SUM(Q74:Q76)</f>
        <v>3206.6891999999998</v>
      </c>
      <c r="R77" s="47"/>
      <c r="S77" s="40">
        <f>SUM(S74:S76)</f>
        <v>3206.6891999999998</v>
      </c>
      <c r="T77" s="47"/>
      <c r="U77" s="40">
        <f>SUM(U74:U76)</f>
        <v>3206.6891999999998</v>
      </c>
      <c r="V77" s="47"/>
      <c r="W77" s="40">
        <f>SUM(W74:W76)</f>
        <v>3206.6891999999998</v>
      </c>
    </row>
    <row r="78" spans="1:23" x14ac:dyDescent="0.25">
      <c r="B78" s="47"/>
      <c r="D78" s="47"/>
      <c r="F78" s="47"/>
      <c r="H78" s="47"/>
      <c r="J78" s="47"/>
      <c r="L78" s="47"/>
      <c r="N78" s="52"/>
      <c r="O78" s="52"/>
      <c r="P78" s="47"/>
      <c r="R78" s="47"/>
      <c r="T78" s="47"/>
      <c r="V78" s="47"/>
    </row>
    <row r="79" spans="1:23" x14ac:dyDescent="0.25">
      <c r="B79" s="47"/>
      <c r="D79" s="47"/>
      <c r="F79" s="47"/>
      <c r="H79" s="47"/>
      <c r="J79" s="47"/>
      <c r="L79" s="47"/>
      <c r="N79" s="52"/>
      <c r="O79" s="52"/>
      <c r="P79" s="47"/>
      <c r="R79" s="47"/>
      <c r="T79" s="47"/>
      <c r="V79" s="47"/>
    </row>
    <row r="80" spans="1:23" s="37" customFormat="1" x14ac:dyDescent="0.25">
      <c r="A80" s="45" t="s">
        <v>55</v>
      </c>
      <c r="B80" s="47"/>
      <c r="C80" s="46">
        <f>SUM(C12:C79)</f>
        <v>317915</v>
      </c>
      <c r="D80" s="47"/>
      <c r="E80" s="46">
        <f>E12+E29+E46+E55+E63+E70+E77</f>
        <v>325158.78591400001</v>
      </c>
      <c r="F80" s="47"/>
      <c r="G80" s="46">
        <f>G12+G29+G46+G55+G63+G70+G77</f>
        <v>260119.26206784614</v>
      </c>
      <c r="H80" s="47"/>
      <c r="I80" s="46">
        <f>I12+I29+I46+I55+I63+I70+I77</f>
        <v>222803.21006784614</v>
      </c>
      <c r="J80" s="47"/>
      <c r="K80" s="46">
        <f>K12+K29+K46+K55+K63+K70+K77</f>
        <v>212178.92606784613</v>
      </c>
      <c r="L80" s="47"/>
      <c r="M80" s="46">
        <f>M12+M29+M46+M55+M63+M70+M77</f>
        <v>186847.95806784614</v>
      </c>
      <c r="N80" s="52"/>
      <c r="O80" s="52"/>
      <c r="P80" s="47"/>
      <c r="Q80" s="46">
        <f>Q12+Q29+Q46+Q55+Q63+Q70+Q77</f>
        <v>185208.42335384613</v>
      </c>
      <c r="R80" s="47"/>
      <c r="S80" s="46">
        <f>S12+S29+S46+S55+S63+S70+S77</f>
        <v>149404.07135384611</v>
      </c>
      <c r="T80" s="47"/>
      <c r="U80" s="46">
        <f>U12+U29+U46+U55+U63+U70+U77</f>
        <v>141544.88735384613</v>
      </c>
      <c r="V80" s="47"/>
      <c r="W80" s="46">
        <f>W12+W29+W46+W55+W63+W70+W77</f>
        <v>116656.41935384614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0"/>
  <sheetViews>
    <sheetView workbookViewId="0">
      <selection activeCell="E2" sqref="E2"/>
    </sheetView>
  </sheetViews>
  <sheetFormatPr defaultRowHeight="15" x14ac:dyDescent="0.25"/>
  <cols>
    <col min="1" max="1" width="49" style="1" customWidth="1"/>
    <col min="2" max="2" width="1.28515625" style="1" customWidth="1"/>
    <col min="3" max="3" width="14.85546875" style="2" customWidth="1"/>
    <col min="4" max="4" width="1.28515625" style="1" customWidth="1"/>
    <col min="5" max="5" width="15" style="2" customWidth="1"/>
    <col min="6" max="6" width="1.28515625" style="1" customWidth="1"/>
    <col min="7" max="7" width="16.5703125" style="2" customWidth="1"/>
    <col min="8" max="8" width="1.28515625" style="1" customWidth="1"/>
    <col min="9" max="9" width="15.7109375" style="2" customWidth="1"/>
    <col min="10" max="10" width="1.28515625" style="1" customWidth="1"/>
    <col min="11" max="11" width="15.85546875" style="2" customWidth="1"/>
    <col min="12" max="12" width="1.28515625" style="1" customWidth="1"/>
    <col min="13" max="13" width="16" style="2" customWidth="1"/>
    <col min="14" max="14" width="1.28515625" style="2" customWidth="1"/>
    <col min="15" max="15" width="50.140625" style="2" customWidth="1"/>
    <col min="16" max="16" width="1.28515625" style="1" customWidth="1"/>
    <col min="17" max="17" width="16" style="2" customWidth="1"/>
    <col min="18" max="18" width="1.28515625" style="1" customWidth="1"/>
    <col min="19" max="19" width="16.140625" style="2" customWidth="1"/>
    <col min="20" max="20" width="1.28515625" style="1" customWidth="1"/>
    <col min="21" max="21" width="15.85546875" style="2" customWidth="1"/>
    <col min="22" max="22" width="1.28515625" style="1" customWidth="1"/>
    <col min="23" max="23" width="15.5703125" style="2" customWidth="1"/>
    <col min="24" max="16384" width="9.140625" style="1"/>
  </cols>
  <sheetData>
    <row r="2" spans="1:23" x14ac:dyDescent="0.25">
      <c r="B2" s="47"/>
      <c r="D2" s="47"/>
      <c r="E2" s="3" t="s">
        <v>36</v>
      </c>
      <c r="F2" s="47"/>
      <c r="H2" s="47"/>
      <c r="J2" s="47"/>
      <c r="L2" s="47"/>
      <c r="N2" s="52"/>
      <c r="P2" s="47"/>
      <c r="Q2" s="3"/>
      <c r="R2" s="47"/>
      <c r="S2" s="4"/>
      <c r="T2" s="47"/>
      <c r="V2" s="47"/>
    </row>
    <row r="3" spans="1:23" x14ac:dyDescent="0.25">
      <c r="B3" s="47"/>
      <c r="D3" s="47"/>
      <c r="F3" s="47"/>
      <c r="H3" s="47"/>
      <c r="J3" s="47"/>
      <c r="L3" s="47"/>
      <c r="N3" s="52"/>
      <c r="P3" s="47"/>
      <c r="R3" s="47"/>
      <c r="T3" s="47"/>
      <c r="V3" s="47"/>
    </row>
    <row r="4" spans="1:23" ht="58.5" customHeight="1" x14ac:dyDescent="0.25">
      <c r="B4" s="47"/>
      <c r="C4" s="5" t="s">
        <v>40</v>
      </c>
      <c r="D4" s="47"/>
      <c r="E4" s="3" t="s">
        <v>1</v>
      </c>
      <c r="F4" s="47"/>
      <c r="G4" s="5" t="s">
        <v>2</v>
      </c>
      <c r="H4" s="47"/>
      <c r="I4" s="5" t="s">
        <v>3</v>
      </c>
      <c r="J4" s="47"/>
      <c r="K4" s="5" t="s">
        <v>4</v>
      </c>
      <c r="L4" s="47"/>
      <c r="M4" s="5" t="s">
        <v>5</v>
      </c>
      <c r="N4" s="53"/>
      <c r="O4" s="5"/>
      <c r="P4" s="47"/>
      <c r="Q4" s="5" t="s">
        <v>2</v>
      </c>
      <c r="R4" s="47"/>
      <c r="S4" s="5" t="s">
        <v>3</v>
      </c>
      <c r="T4" s="47"/>
      <c r="U4" s="5" t="s">
        <v>4</v>
      </c>
      <c r="V4" s="47"/>
      <c r="W4" s="5" t="s">
        <v>5</v>
      </c>
    </row>
    <row r="5" spans="1:23" ht="18.75" x14ac:dyDescent="0.3">
      <c r="A5" s="6" t="s">
        <v>19</v>
      </c>
      <c r="B5" s="48"/>
      <c r="C5" s="7"/>
      <c r="D5" s="47"/>
      <c r="E5" s="3"/>
      <c r="F5" s="47"/>
      <c r="G5" s="5"/>
      <c r="H5" s="47"/>
      <c r="I5" s="5"/>
      <c r="J5" s="47"/>
      <c r="K5" s="5"/>
      <c r="L5" s="47"/>
      <c r="M5" s="5"/>
      <c r="N5" s="53"/>
      <c r="O5" s="8" t="s">
        <v>19</v>
      </c>
      <c r="P5" s="47"/>
      <c r="R5" s="47"/>
      <c r="T5" s="47"/>
      <c r="V5" s="47"/>
    </row>
    <row r="6" spans="1:23" x14ac:dyDescent="0.25">
      <c r="A6" s="1" t="s">
        <v>0</v>
      </c>
      <c r="B6" s="47"/>
      <c r="D6" s="47"/>
      <c r="E6" s="2">
        <v>35500</v>
      </c>
      <c r="F6" s="52"/>
      <c r="G6" s="2">
        <v>35500</v>
      </c>
      <c r="H6" s="52"/>
      <c r="I6" s="2">
        <v>35500</v>
      </c>
      <c r="J6" s="52"/>
      <c r="K6" s="2">
        <v>35500</v>
      </c>
      <c r="L6" s="52"/>
      <c r="M6" s="2">
        <v>35500</v>
      </c>
      <c r="N6" s="52"/>
      <c r="O6" s="2" t="s">
        <v>50</v>
      </c>
      <c r="P6" s="52"/>
      <c r="Q6" s="2">
        <f>27.7*4*39</f>
        <v>4321.2</v>
      </c>
      <c r="R6" s="47"/>
      <c r="S6" s="2">
        <f>27.7*3*39</f>
        <v>3240.8999999999996</v>
      </c>
      <c r="T6" s="47"/>
      <c r="U6" s="2">
        <f>27.7*4*39</f>
        <v>4321.2</v>
      </c>
      <c r="V6" s="47"/>
      <c r="W6" s="2">
        <f>27.7*3*39</f>
        <v>3240.8999999999996</v>
      </c>
    </row>
    <row r="7" spans="1:23" x14ac:dyDescent="0.25">
      <c r="A7" s="1" t="s">
        <v>6</v>
      </c>
      <c r="B7" s="47"/>
      <c r="D7" s="47"/>
      <c r="E7" s="2">
        <f xml:space="preserve"> (E6*0.0765)+(E6*0.214)+(625.04*12*2*1.0809)+(63.67*12*1.05)+(8.7*12*1.05)</f>
        <v>27439.149663999997</v>
      </c>
      <c r="F7" s="52"/>
      <c r="G7" s="2">
        <f xml:space="preserve"> (G6*0.0765)+(G6*0.214)+(625.04*12*2*1.0809)+(63.67*12*1.05)+(8.7*12*1.05)</f>
        <v>27439.149663999997</v>
      </c>
      <c r="H7" s="52"/>
      <c r="I7" s="2">
        <f xml:space="preserve"> (I6*0.0765)+(I6*0.214)+(625.04*12*2*1.0809)+(63.67*12*1.05)+(8.7*12*1.05)</f>
        <v>27439.149663999997</v>
      </c>
      <c r="J7" s="52"/>
      <c r="K7" s="2">
        <f xml:space="preserve"> (K6*0.0765)+(K6*0.214)+(625.04*12*2*1.0809)+(63.67*12*1.05)+(8.7*12*1.05)</f>
        <v>27439.149663999997</v>
      </c>
      <c r="L7" s="52"/>
      <c r="M7" s="2">
        <f xml:space="preserve"> (M6*0.0765)+(M6*0.214)+(625.04*12*2*1.0809)+(63.67*12*1.05)+(8.7*12*1.05)</f>
        <v>27439.149663999997</v>
      </c>
      <c r="N7" s="52"/>
      <c r="P7" s="52"/>
      <c r="R7" s="47"/>
      <c r="T7" s="47"/>
      <c r="V7" s="47"/>
    </row>
    <row r="8" spans="1:23" x14ac:dyDescent="0.25">
      <c r="B8" s="47"/>
      <c r="D8" s="47"/>
      <c r="F8" s="52"/>
      <c r="H8" s="52"/>
      <c r="J8" s="52"/>
      <c r="L8" s="52"/>
      <c r="N8" s="52"/>
      <c r="O8" s="2" t="s">
        <v>51</v>
      </c>
      <c r="P8" s="52"/>
      <c r="Q8" s="2">
        <f>1944*4</f>
        <v>7776</v>
      </c>
      <c r="R8" s="47"/>
      <c r="S8" s="2">
        <f>((1944/4)*3*4)</f>
        <v>5832</v>
      </c>
      <c r="T8" s="47"/>
      <c r="U8" s="2">
        <f>1944*4</f>
        <v>7776</v>
      </c>
      <c r="V8" s="47"/>
      <c r="W8" s="2">
        <f>((1944/4)*3*4)</f>
        <v>5832</v>
      </c>
    </row>
    <row r="9" spans="1:23" x14ac:dyDescent="0.25">
      <c r="A9" s="1" t="s">
        <v>7</v>
      </c>
      <c r="B9" s="47"/>
      <c r="D9" s="47"/>
      <c r="E9" s="2">
        <f>14.42*5*45</f>
        <v>3244.4999999999995</v>
      </c>
      <c r="F9" s="52"/>
      <c r="G9" s="2">
        <f>14.42*5*45</f>
        <v>3244.4999999999995</v>
      </c>
      <c r="H9" s="52"/>
      <c r="I9" s="2">
        <f>14.42*5*45</f>
        <v>3244.4999999999995</v>
      </c>
      <c r="J9" s="52"/>
      <c r="K9" s="2">
        <f>14.42*5*45</f>
        <v>3244.4999999999995</v>
      </c>
      <c r="L9" s="52"/>
      <c r="M9" s="2">
        <f>14.42*5*45</f>
        <v>3244.4999999999995</v>
      </c>
      <c r="N9" s="52"/>
      <c r="O9" s="2" t="s">
        <v>53</v>
      </c>
      <c r="P9" s="52"/>
      <c r="R9" s="47"/>
      <c r="T9" s="47"/>
      <c r="V9" s="47"/>
    </row>
    <row r="10" spans="1:23" x14ac:dyDescent="0.25">
      <c r="A10" s="1" t="s">
        <v>8</v>
      </c>
      <c r="B10" s="47"/>
      <c r="D10" s="47"/>
      <c r="E10" s="2">
        <f>(E9*0.0765)+(E9*0.214)</f>
        <v>942.52724999999987</v>
      </c>
      <c r="F10" s="52"/>
      <c r="G10" s="2">
        <f>(G9*0.0765)+(G9*0.214)</f>
        <v>942.52724999999987</v>
      </c>
      <c r="H10" s="52"/>
      <c r="I10" s="2">
        <f>(I9*0.0765)+(I9*0.214)</f>
        <v>942.52724999999987</v>
      </c>
      <c r="J10" s="52"/>
      <c r="K10" s="2">
        <f>(K9*0.0765)+(K9*0.214)</f>
        <v>942.52724999999987</v>
      </c>
      <c r="L10" s="52"/>
      <c r="M10" s="2">
        <f>(M9*0.0765)+(M9*0.214)</f>
        <v>942.52724999999987</v>
      </c>
      <c r="N10" s="52"/>
      <c r="O10" s="2" t="s">
        <v>54</v>
      </c>
      <c r="P10" s="52"/>
      <c r="R10" s="47"/>
      <c r="T10" s="47"/>
      <c r="V10" s="47"/>
    </row>
    <row r="11" spans="1:23" x14ac:dyDescent="0.25">
      <c r="B11" s="47"/>
      <c r="D11" s="47"/>
      <c r="F11" s="52"/>
      <c r="H11" s="52"/>
      <c r="J11" s="52"/>
      <c r="L11" s="52"/>
      <c r="N11" s="52"/>
      <c r="P11" s="52"/>
      <c r="R11" s="47"/>
      <c r="T11" s="47"/>
      <c r="V11" s="47"/>
    </row>
    <row r="12" spans="1:23" x14ac:dyDescent="0.25">
      <c r="A12" s="39" t="s">
        <v>41</v>
      </c>
      <c r="B12" s="47"/>
      <c r="C12" s="40">
        <f>39650+23240</f>
        <v>62890</v>
      </c>
      <c r="D12" s="47"/>
      <c r="E12" s="40">
        <f>SUM(E6:E11)</f>
        <v>67126.176913999996</v>
      </c>
      <c r="F12" s="52"/>
      <c r="G12" s="40">
        <f>SUM(G6:G11)</f>
        <v>67126.176913999996</v>
      </c>
      <c r="H12" s="52"/>
      <c r="I12" s="40">
        <f>SUM(I6:I11)</f>
        <v>67126.176913999996</v>
      </c>
      <c r="J12" s="52"/>
      <c r="K12" s="40">
        <f>SUM(K6:K11)</f>
        <v>67126.176913999996</v>
      </c>
      <c r="L12" s="52"/>
      <c r="M12" s="40">
        <f>SUM(M6:M11)</f>
        <v>67126.176913999996</v>
      </c>
      <c r="N12" s="52"/>
      <c r="O12" s="39" t="s">
        <v>41</v>
      </c>
      <c r="P12" s="52"/>
      <c r="Q12" s="40">
        <f>SUM(Q6:Q11)</f>
        <v>12097.2</v>
      </c>
      <c r="R12" s="47"/>
      <c r="S12" s="40">
        <f>SUM(S6:S11)</f>
        <v>9072.9</v>
      </c>
      <c r="T12" s="47"/>
      <c r="U12" s="40">
        <f>SUM(U6:U11)</f>
        <v>12097.2</v>
      </c>
      <c r="V12" s="47"/>
      <c r="W12" s="40">
        <f>SUM(W6:W11)</f>
        <v>9072.9</v>
      </c>
    </row>
    <row r="13" spans="1:23" x14ac:dyDescent="0.25">
      <c r="B13" s="47"/>
      <c r="D13" s="47"/>
      <c r="F13" s="52"/>
      <c r="H13" s="52"/>
      <c r="J13" s="52"/>
      <c r="L13" s="52"/>
      <c r="N13" s="52"/>
      <c r="P13" s="52"/>
      <c r="R13" s="47"/>
      <c r="T13" s="47"/>
      <c r="V13" s="47"/>
    </row>
    <row r="14" spans="1:23" x14ac:dyDescent="0.25">
      <c r="A14" s="1" t="s">
        <v>9</v>
      </c>
      <c r="B14" s="47"/>
      <c r="D14" s="47"/>
      <c r="F14" s="52"/>
      <c r="H14" s="52"/>
      <c r="J14" s="52"/>
      <c r="L14" s="52"/>
      <c r="N14" s="52"/>
      <c r="O14" s="2" t="s">
        <v>9</v>
      </c>
      <c r="P14" s="52"/>
      <c r="R14" s="47"/>
      <c r="T14" s="47"/>
      <c r="V14" s="47"/>
    </row>
    <row r="15" spans="1:23" x14ac:dyDescent="0.25">
      <c r="A15" s="9" t="s">
        <v>12</v>
      </c>
      <c r="B15" s="49"/>
      <c r="C15" s="10"/>
      <c r="D15" s="47"/>
      <c r="E15" s="2">
        <f>13*18*3*4*36</f>
        <v>101088</v>
      </c>
      <c r="F15" s="52"/>
      <c r="G15" s="2">
        <f>11*18*3*4*36</f>
        <v>85536</v>
      </c>
      <c r="H15" s="52"/>
      <c r="I15" s="2">
        <f>11*18*3*3*36</f>
        <v>64152</v>
      </c>
      <c r="J15" s="52"/>
      <c r="K15" s="2">
        <f>11*18*2*4*36</f>
        <v>57024</v>
      </c>
      <c r="L15" s="52"/>
      <c r="M15" s="2">
        <f>11*18*3*2*36</f>
        <v>42768</v>
      </c>
      <c r="N15" s="52"/>
      <c r="O15" s="10" t="s">
        <v>12</v>
      </c>
      <c r="P15" s="52"/>
      <c r="Q15" s="2">
        <f>11*18*3*4*36</f>
        <v>85536</v>
      </c>
      <c r="R15" s="47"/>
      <c r="S15" s="2">
        <f>11*18*3*3*36</f>
        <v>64152</v>
      </c>
      <c r="T15" s="47"/>
      <c r="U15" s="2">
        <f>11*18*2*4*36</f>
        <v>57024</v>
      </c>
      <c r="V15" s="47"/>
      <c r="W15" s="2">
        <f>11*18*3*2*36</f>
        <v>42768</v>
      </c>
    </row>
    <row r="16" spans="1:23" x14ac:dyDescent="0.25">
      <c r="A16" s="9" t="s">
        <v>48</v>
      </c>
      <c r="B16" s="49"/>
      <c r="C16" s="10"/>
      <c r="D16" s="47"/>
      <c r="F16" s="52"/>
      <c r="H16" s="52"/>
      <c r="J16" s="52"/>
      <c r="L16" s="52"/>
      <c r="N16" s="52"/>
      <c r="O16" s="10"/>
      <c r="P16" s="52"/>
      <c r="R16" s="47"/>
      <c r="T16" s="47"/>
      <c r="V16" s="47"/>
    </row>
    <row r="17" spans="1:23" x14ac:dyDescent="0.25">
      <c r="A17" s="9" t="s">
        <v>11</v>
      </c>
      <c r="B17" s="49"/>
      <c r="C17" s="10"/>
      <c r="D17" s="47"/>
      <c r="E17" s="2">
        <f>7*18*3*5*3</f>
        <v>5670</v>
      </c>
      <c r="F17" s="52"/>
      <c r="G17" s="2">
        <f>7*18*3*5*3</f>
        <v>5670</v>
      </c>
      <c r="H17" s="52"/>
      <c r="I17" s="2">
        <f>7*18*3*5*3</f>
        <v>5670</v>
      </c>
      <c r="J17" s="52"/>
      <c r="K17" s="2">
        <f>7*18*3*5*3</f>
        <v>5670</v>
      </c>
      <c r="L17" s="52"/>
      <c r="M17" s="2">
        <f>7*18*3*5*3</f>
        <v>5670</v>
      </c>
      <c r="N17" s="52"/>
      <c r="O17" s="10" t="s">
        <v>11</v>
      </c>
      <c r="P17" s="52"/>
      <c r="Q17" s="2">
        <f>7*18*3*5*3</f>
        <v>5670</v>
      </c>
      <c r="R17" s="47"/>
      <c r="S17" s="2">
        <f>7*18*3*5*3</f>
        <v>5670</v>
      </c>
      <c r="T17" s="47"/>
      <c r="U17" s="2">
        <f>7*18*3*5*3</f>
        <v>5670</v>
      </c>
      <c r="V17" s="47"/>
      <c r="W17" s="2">
        <f>7*18*3*5*3</f>
        <v>5670</v>
      </c>
    </row>
    <row r="18" spans="1:23" x14ac:dyDescent="0.25">
      <c r="A18" s="9" t="s">
        <v>49</v>
      </c>
      <c r="B18" s="49"/>
      <c r="C18" s="10"/>
      <c r="D18" s="47"/>
      <c r="F18" s="52"/>
      <c r="H18" s="52"/>
      <c r="J18" s="52"/>
      <c r="L18" s="52"/>
      <c r="N18" s="52"/>
      <c r="P18" s="52"/>
      <c r="R18" s="47"/>
      <c r="T18" s="47"/>
      <c r="V18" s="47"/>
    </row>
    <row r="19" spans="1:23" x14ac:dyDescent="0.25">
      <c r="B19" s="47"/>
      <c r="D19" s="47"/>
      <c r="F19" s="52"/>
      <c r="H19" s="52"/>
      <c r="J19" s="52"/>
      <c r="L19" s="52"/>
      <c r="N19" s="52"/>
      <c r="P19" s="52"/>
      <c r="R19" s="47"/>
      <c r="T19" s="47"/>
      <c r="V19" s="47"/>
    </row>
    <row r="20" spans="1:23" x14ac:dyDescent="0.25">
      <c r="A20" s="1" t="s">
        <v>10</v>
      </c>
      <c r="B20" s="47"/>
      <c r="D20" s="47"/>
      <c r="F20" s="52"/>
      <c r="H20" s="52"/>
      <c r="J20" s="52"/>
      <c r="L20" s="52"/>
      <c r="N20" s="52"/>
      <c r="O20" s="1" t="s">
        <v>10</v>
      </c>
      <c r="P20" s="52"/>
      <c r="R20" s="47"/>
      <c r="T20" s="47"/>
      <c r="V20" s="47"/>
    </row>
    <row r="21" spans="1:23" x14ac:dyDescent="0.25">
      <c r="A21" s="9" t="s">
        <v>12</v>
      </c>
      <c r="B21" s="49"/>
      <c r="C21" s="10"/>
      <c r="D21" s="47"/>
      <c r="E21" s="2">
        <f>(E15*0.0765)+(E15*0.214)</f>
        <v>29366.063999999998</v>
      </c>
      <c r="F21" s="52"/>
      <c r="G21" s="2">
        <f>(G15*0.0765)+(G15*0.214)</f>
        <v>24848.207999999999</v>
      </c>
      <c r="H21" s="52"/>
      <c r="I21" s="2">
        <f>(I15*0.0765)+(I15*0.214)</f>
        <v>18636.155999999999</v>
      </c>
      <c r="J21" s="52"/>
      <c r="K21" s="2">
        <f>(K15*0.0765)+(K15*0.214)</f>
        <v>16565.472000000002</v>
      </c>
      <c r="L21" s="52"/>
      <c r="M21" s="2">
        <f>(M15*0.0765)+(M15*0.214)</f>
        <v>12424.103999999999</v>
      </c>
      <c r="N21" s="52"/>
      <c r="O21" s="9" t="s">
        <v>12</v>
      </c>
      <c r="P21" s="52"/>
      <c r="Q21" s="2">
        <f>(Q15*0.0765)+(Q15*0.214)</f>
        <v>24848.207999999999</v>
      </c>
      <c r="R21" s="47"/>
      <c r="S21" s="2">
        <f>(S15*0.0765)+(S15*0.214)</f>
        <v>18636.155999999999</v>
      </c>
      <c r="T21" s="47"/>
      <c r="U21" s="2">
        <f>(U15*0.0765)+(U15*0.214)</f>
        <v>16565.472000000002</v>
      </c>
      <c r="V21" s="47"/>
      <c r="W21" s="2">
        <f>(W15*0.0765)+(W15*0.214)</f>
        <v>12424.103999999999</v>
      </c>
    </row>
    <row r="22" spans="1:23" x14ac:dyDescent="0.25">
      <c r="A22" s="9" t="s">
        <v>11</v>
      </c>
      <c r="B22" s="49"/>
      <c r="C22" s="10"/>
      <c r="D22" s="47"/>
      <c r="E22" s="2">
        <f>(E17*0.0765)+(E17*0.1693)</f>
        <v>1393.6860000000001</v>
      </c>
      <c r="F22" s="52"/>
      <c r="G22" s="2">
        <f>(G17*0.0765)+(G17*0.1693)</f>
        <v>1393.6860000000001</v>
      </c>
      <c r="H22" s="52"/>
      <c r="I22" s="2">
        <f>(I17*0.0765)+(I17*0.1693)</f>
        <v>1393.6860000000001</v>
      </c>
      <c r="J22" s="52"/>
      <c r="K22" s="2">
        <f>(K17*0.0765)+(K17*0.1693)</f>
        <v>1393.6860000000001</v>
      </c>
      <c r="L22" s="52"/>
      <c r="M22" s="2">
        <f>(M17*0.0765)+(M17*0.1693)</f>
        <v>1393.6860000000001</v>
      </c>
      <c r="N22" s="52"/>
      <c r="O22" s="9" t="s">
        <v>11</v>
      </c>
      <c r="P22" s="52"/>
      <c r="Q22" s="2">
        <f>(Q17*0.0765)+(Q17*0.214)</f>
        <v>1647.1349999999998</v>
      </c>
      <c r="R22" s="47"/>
      <c r="S22" s="2">
        <f>(S17*0.0765)+(S17*0.214)</f>
        <v>1647.1349999999998</v>
      </c>
      <c r="T22" s="47"/>
      <c r="U22" s="2">
        <f>(U17*0.0765)+(U17*0.214)</f>
        <v>1647.1349999999998</v>
      </c>
      <c r="V22" s="47"/>
      <c r="W22" s="2">
        <f>(W17*0.0765)+(W17*0.214)</f>
        <v>1647.1349999999998</v>
      </c>
    </row>
    <row r="23" spans="1:23" x14ac:dyDescent="0.25">
      <c r="B23" s="47"/>
      <c r="D23" s="47"/>
      <c r="F23" s="52"/>
      <c r="H23" s="52"/>
      <c r="J23" s="52"/>
      <c r="L23" s="52"/>
      <c r="N23" s="52"/>
      <c r="P23" s="52"/>
      <c r="R23" s="47"/>
      <c r="T23" s="47"/>
      <c r="V23" s="47"/>
    </row>
    <row r="24" spans="1:23" x14ac:dyDescent="0.25">
      <c r="A24" s="1" t="s">
        <v>15</v>
      </c>
      <c r="B24" s="47"/>
      <c r="D24" s="47"/>
      <c r="F24" s="52"/>
      <c r="H24" s="52"/>
      <c r="J24" s="52"/>
      <c r="L24" s="52"/>
      <c r="N24" s="52"/>
      <c r="O24" s="1" t="s">
        <v>15</v>
      </c>
      <c r="P24" s="52"/>
      <c r="R24" s="47"/>
      <c r="T24" s="47"/>
      <c r="V24" s="47"/>
    </row>
    <row r="25" spans="1:23" x14ac:dyDescent="0.25">
      <c r="A25" s="9" t="s">
        <v>13</v>
      </c>
      <c r="B25" s="49"/>
      <c r="C25" s="10"/>
      <c r="D25" s="47"/>
      <c r="E25" s="2">
        <f>13*18*47</f>
        <v>10998</v>
      </c>
      <c r="F25" s="52"/>
      <c r="G25" s="2">
        <f>11*18*47</f>
        <v>9306</v>
      </c>
      <c r="H25" s="52"/>
      <c r="I25" s="2">
        <f>11*18*47</f>
        <v>9306</v>
      </c>
      <c r="J25" s="52"/>
      <c r="K25" s="2">
        <f>11*18*47</f>
        <v>9306</v>
      </c>
      <c r="L25" s="52"/>
      <c r="M25" s="2">
        <f>11*18*47</f>
        <v>9306</v>
      </c>
      <c r="N25" s="52"/>
      <c r="O25" s="9" t="s">
        <v>13</v>
      </c>
      <c r="P25" s="52"/>
      <c r="Q25" s="2">
        <f>11*18*47</f>
        <v>9306</v>
      </c>
      <c r="R25" s="47"/>
      <c r="S25" s="2">
        <f>11*18*47</f>
        <v>9306</v>
      </c>
      <c r="T25" s="47"/>
      <c r="U25" s="2">
        <f>11*18*47</f>
        <v>9306</v>
      </c>
      <c r="V25" s="47"/>
      <c r="W25" s="2">
        <f>11*18*47</f>
        <v>9306</v>
      </c>
    </row>
    <row r="26" spans="1:23" x14ac:dyDescent="0.25">
      <c r="A26" s="9" t="s">
        <v>14</v>
      </c>
      <c r="B26" s="49"/>
      <c r="C26" s="10"/>
      <c r="D26" s="47"/>
      <c r="E26" s="2">
        <f>(E25*0.0765)+(E25*0.214)</f>
        <v>3194.9189999999999</v>
      </c>
      <c r="F26" s="52"/>
      <c r="G26" s="2">
        <f>(G25*0.0765)+(G25*0.214)</f>
        <v>2703.393</v>
      </c>
      <c r="H26" s="52"/>
      <c r="I26" s="2">
        <f>(I25*0.0765)+(I25*0.214)</f>
        <v>2703.393</v>
      </c>
      <c r="J26" s="52"/>
      <c r="K26" s="2">
        <f>(K25*0.0765)+(K25*0.214)</f>
        <v>2703.393</v>
      </c>
      <c r="L26" s="52"/>
      <c r="M26" s="2">
        <f>(M25*0.0765)+(M25*0.214)</f>
        <v>2703.393</v>
      </c>
      <c r="N26" s="52"/>
      <c r="O26" s="9" t="s">
        <v>14</v>
      </c>
      <c r="P26" s="52"/>
      <c r="Q26" s="2">
        <f>(Q25*0.0765)+(Q25*0.214)</f>
        <v>2703.393</v>
      </c>
      <c r="R26" s="47"/>
      <c r="S26" s="2">
        <f>(S25*0.0765)+(S25*0.214)</f>
        <v>2703.393</v>
      </c>
      <c r="T26" s="47"/>
      <c r="U26" s="2">
        <f>(U25*0.0765)+(U25*0.214)</f>
        <v>2703.393</v>
      </c>
      <c r="V26" s="47"/>
      <c r="W26" s="2">
        <f>(W25*0.0765)+(W25*0.214)</f>
        <v>2703.393</v>
      </c>
    </row>
    <row r="27" spans="1:23" ht="45" x14ac:dyDescent="0.25">
      <c r="A27" s="11" t="s">
        <v>57</v>
      </c>
      <c r="B27" s="50"/>
      <c r="C27" s="12"/>
      <c r="D27" s="47"/>
      <c r="F27" s="52"/>
      <c r="H27" s="52"/>
      <c r="J27" s="52"/>
      <c r="L27" s="52"/>
      <c r="N27" s="52"/>
      <c r="O27" s="11" t="s">
        <v>57</v>
      </c>
      <c r="P27" s="52"/>
      <c r="R27" s="47"/>
      <c r="T27" s="47"/>
      <c r="V27" s="47"/>
    </row>
    <row r="28" spans="1:23" x14ac:dyDescent="0.25">
      <c r="A28" s="11"/>
      <c r="B28" s="50"/>
      <c r="C28" s="12"/>
      <c r="D28" s="47"/>
      <c r="F28" s="52"/>
      <c r="H28" s="52"/>
      <c r="J28" s="52"/>
      <c r="L28" s="52"/>
      <c r="N28" s="52"/>
      <c r="P28" s="52"/>
      <c r="R28" s="47"/>
      <c r="T28" s="47"/>
      <c r="V28" s="47"/>
    </row>
    <row r="29" spans="1:23" x14ac:dyDescent="0.25">
      <c r="A29" s="41" t="s">
        <v>42</v>
      </c>
      <c r="B29" s="50"/>
      <c r="C29" s="42">
        <f>132013+23293</f>
        <v>155306</v>
      </c>
      <c r="D29" s="47"/>
      <c r="E29" s="40">
        <f>SUM(E15:E28)</f>
        <v>151710.66899999999</v>
      </c>
      <c r="F29" s="52"/>
      <c r="G29" s="40">
        <f>SUM(G15:G28)</f>
        <v>129457.287</v>
      </c>
      <c r="H29" s="52"/>
      <c r="I29" s="40">
        <f>SUM(I15:I28)</f>
        <v>101861.235</v>
      </c>
      <c r="J29" s="52"/>
      <c r="K29" s="40">
        <f>SUM(K15:K28)</f>
        <v>92662.551000000007</v>
      </c>
      <c r="L29" s="52"/>
      <c r="M29" s="40">
        <f>SUM(M15:M28)</f>
        <v>74265.183000000005</v>
      </c>
      <c r="N29" s="52"/>
      <c r="O29" s="43" t="s">
        <v>42</v>
      </c>
      <c r="P29" s="52"/>
      <c r="Q29" s="40">
        <f>SUM(Q15:Q28)</f>
        <v>129710.73599999999</v>
      </c>
      <c r="R29" s="47"/>
      <c r="S29" s="40">
        <f>SUM(S15:S28)</f>
        <v>102114.68399999999</v>
      </c>
      <c r="T29" s="47"/>
      <c r="U29" s="40">
        <f>SUM(U15:U28)</f>
        <v>92916</v>
      </c>
      <c r="V29" s="47"/>
      <c r="W29" s="40">
        <f>SUM(W15:W28)</f>
        <v>74518.631999999998</v>
      </c>
    </row>
    <row r="30" spans="1:23" x14ac:dyDescent="0.25">
      <c r="A30" s="9"/>
      <c r="B30" s="49"/>
      <c r="C30" s="10"/>
      <c r="D30" s="47"/>
      <c r="F30" s="52"/>
      <c r="H30" s="52"/>
      <c r="J30" s="52"/>
      <c r="L30" s="52"/>
      <c r="N30" s="52"/>
      <c r="P30" s="52"/>
      <c r="R30" s="47"/>
      <c r="T30" s="47"/>
      <c r="V30" s="47"/>
    </row>
    <row r="31" spans="1:23" ht="18.75" x14ac:dyDescent="0.3">
      <c r="A31" s="6" t="s">
        <v>18</v>
      </c>
      <c r="B31" s="48"/>
      <c r="C31" s="7"/>
      <c r="D31" s="47"/>
      <c r="F31" s="52"/>
      <c r="H31" s="52"/>
      <c r="J31" s="52"/>
      <c r="L31" s="52"/>
      <c r="N31" s="52"/>
      <c r="O31" s="6" t="s">
        <v>18</v>
      </c>
      <c r="P31" s="52"/>
      <c r="R31" s="47"/>
      <c r="T31" s="47"/>
      <c r="V31" s="47"/>
    </row>
    <row r="32" spans="1:23" x14ac:dyDescent="0.25">
      <c r="A32" s="13" t="s">
        <v>16</v>
      </c>
      <c r="B32" s="51"/>
      <c r="C32" s="14"/>
      <c r="D32" s="47"/>
      <c r="F32" s="52"/>
      <c r="H32" s="52"/>
      <c r="J32" s="52"/>
      <c r="L32" s="52"/>
      <c r="N32" s="52"/>
      <c r="O32" s="13" t="s">
        <v>16</v>
      </c>
      <c r="P32" s="52"/>
      <c r="R32" s="47"/>
      <c r="T32" s="47"/>
      <c r="V32" s="47"/>
    </row>
    <row r="33" spans="1:23" x14ac:dyDescent="0.25">
      <c r="A33" s="9" t="s">
        <v>17</v>
      </c>
      <c r="B33" s="49"/>
      <c r="C33" s="10"/>
      <c r="D33" s="47"/>
      <c r="E33" s="2">
        <f>9*18*36*4</f>
        <v>23328</v>
      </c>
      <c r="F33" s="52"/>
      <c r="G33" s="2">
        <f>8*18*36*4</f>
        <v>20736</v>
      </c>
      <c r="H33" s="52"/>
      <c r="I33" s="2">
        <f>8*18*36*3</f>
        <v>15552</v>
      </c>
      <c r="J33" s="52"/>
      <c r="K33" s="2">
        <f>5.35*18*36*4</f>
        <v>13867.199999999999</v>
      </c>
      <c r="L33" s="52"/>
      <c r="M33" s="2">
        <f>5.35*18*36*3</f>
        <v>10400.4</v>
      </c>
      <c r="N33" s="52"/>
      <c r="O33" s="9" t="s">
        <v>17</v>
      </c>
      <c r="P33" s="52"/>
      <c r="Q33" s="2">
        <f>8*18*36*4</f>
        <v>20736</v>
      </c>
      <c r="R33" s="47"/>
      <c r="S33" s="2">
        <f>8*18*36*3</f>
        <v>15552</v>
      </c>
      <c r="T33" s="47"/>
      <c r="U33" s="2">
        <f>5.35*18*36*4</f>
        <v>13867.199999999999</v>
      </c>
      <c r="V33" s="47"/>
      <c r="W33" s="2">
        <f>5.35*18*36*3</f>
        <v>10400.4</v>
      </c>
    </row>
    <row r="34" spans="1:23" x14ac:dyDescent="0.25">
      <c r="A34" s="9" t="s">
        <v>11</v>
      </c>
      <c r="B34" s="49"/>
      <c r="C34" s="10"/>
      <c r="D34" s="47"/>
      <c r="E34" s="2">
        <f>5*18*5*3</f>
        <v>1350</v>
      </c>
      <c r="F34" s="52"/>
      <c r="G34" s="2">
        <f>5*18*5*3</f>
        <v>1350</v>
      </c>
      <c r="H34" s="52"/>
      <c r="I34" s="2">
        <f>5*18*5*3</f>
        <v>1350</v>
      </c>
      <c r="J34" s="52"/>
      <c r="K34" s="2">
        <f>5*18*5*3</f>
        <v>1350</v>
      </c>
      <c r="L34" s="52"/>
      <c r="M34" s="2">
        <f>5*18*5*3</f>
        <v>1350</v>
      </c>
      <c r="N34" s="52"/>
      <c r="O34" s="9" t="s">
        <v>11</v>
      </c>
      <c r="P34" s="52"/>
      <c r="Q34" s="2">
        <f>5*18*5*3</f>
        <v>1350</v>
      </c>
      <c r="R34" s="47"/>
      <c r="S34" s="2">
        <f>5*18*5*3</f>
        <v>1350</v>
      </c>
      <c r="T34" s="47"/>
      <c r="U34" s="2">
        <f>5*18*5*3</f>
        <v>1350</v>
      </c>
      <c r="V34" s="47"/>
      <c r="W34" s="2">
        <f>5*18*5*3</f>
        <v>1350</v>
      </c>
    </row>
    <row r="35" spans="1:23" x14ac:dyDescent="0.25">
      <c r="B35" s="47"/>
      <c r="D35" s="47"/>
      <c r="F35" s="52"/>
      <c r="H35" s="52"/>
      <c r="J35" s="52"/>
      <c r="L35" s="52"/>
      <c r="N35" s="52"/>
      <c r="O35" s="1"/>
      <c r="P35" s="52"/>
      <c r="R35" s="47"/>
      <c r="T35" s="47"/>
      <c r="V35" s="47"/>
    </row>
    <row r="36" spans="1:23" x14ac:dyDescent="0.25">
      <c r="A36" s="1" t="s">
        <v>20</v>
      </c>
      <c r="B36" s="47"/>
      <c r="D36" s="47"/>
      <c r="F36" s="52"/>
      <c r="H36" s="52"/>
      <c r="J36" s="52"/>
      <c r="L36" s="52"/>
      <c r="N36" s="52"/>
      <c r="O36" s="1" t="s">
        <v>52</v>
      </c>
      <c r="P36" s="52"/>
      <c r="R36" s="47"/>
      <c r="T36" s="47"/>
      <c r="V36" s="47"/>
    </row>
    <row r="37" spans="1:23" x14ac:dyDescent="0.25">
      <c r="A37" s="9" t="s">
        <v>21</v>
      </c>
      <c r="B37" s="49"/>
      <c r="C37" s="10"/>
      <c r="D37" s="47"/>
      <c r="E37" s="2">
        <f>200*5*10</f>
        <v>10000</v>
      </c>
      <c r="F37" s="52"/>
      <c r="G37" s="2">
        <v>0</v>
      </c>
      <c r="H37" s="52"/>
      <c r="I37" s="2">
        <v>0</v>
      </c>
      <c r="J37" s="52"/>
      <c r="K37" s="2">
        <v>0</v>
      </c>
      <c r="L37" s="52"/>
      <c r="M37" s="2">
        <v>0</v>
      </c>
      <c r="N37" s="52"/>
      <c r="O37" s="9"/>
      <c r="P37" s="52"/>
      <c r="R37" s="47"/>
      <c r="T37" s="47"/>
      <c r="V37" s="47"/>
    </row>
    <row r="38" spans="1:23" x14ac:dyDescent="0.25">
      <c r="B38" s="47"/>
      <c r="D38" s="47"/>
      <c r="F38" s="52"/>
      <c r="H38" s="52"/>
      <c r="J38" s="52"/>
      <c r="L38" s="52"/>
      <c r="N38" s="52"/>
      <c r="O38" s="1"/>
      <c r="P38" s="52"/>
      <c r="R38" s="47"/>
      <c r="T38" s="47"/>
      <c r="V38" s="47"/>
    </row>
    <row r="39" spans="1:23" x14ac:dyDescent="0.25">
      <c r="A39" s="1" t="s">
        <v>22</v>
      </c>
      <c r="B39" s="47"/>
      <c r="D39" s="47"/>
      <c r="F39" s="52"/>
      <c r="H39" s="52"/>
      <c r="J39" s="52"/>
      <c r="L39" s="52"/>
      <c r="N39" s="52"/>
      <c r="O39" s="1"/>
      <c r="P39" s="52"/>
      <c r="R39" s="47"/>
      <c r="T39" s="47"/>
      <c r="V39" s="47"/>
    </row>
    <row r="40" spans="1:23" x14ac:dyDescent="0.25">
      <c r="A40" s="9" t="s">
        <v>23</v>
      </c>
      <c r="B40" s="49"/>
      <c r="C40" s="10"/>
      <c r="D40" s="47"/>
      <c r="E40" s="2">
        <v>17955</v>
      </c>
      <c r="F40" s="52"/>
      <c r="G40" s="2">
        <v>0</v>
      </c>
      <c r="H40" s="52"/>
      <c r="I40" s="2">
        <v>0</v>
      </c>
      <c r="J40" s="52"/>
      <c r="K40" s="2">
        <v>0</v>
      </c>
      <c r="L40" s="52"/>
      <c r="M40" s="2">
        <v>0</v>
      </c>
      <c r="N40" s="52"/>
      <c r="O40" s="9"/>
      <c r="P40" s="52"/>
      <c r="R40" s="47"/>
      <c r="T40" s="47"/>
      <c r="V40" s="47"/>
    </row>
    <row r="41" spans="1:23" x14ac:dyDescent="0.25">
      <c r="B41" s="47"/>
      <c r="D41" s="47"/>
      <c r="F41" s="52"/>
      <c r="H41" s="52"/>
      <c r="J41" s="52"/>
      <c r="L41" s="52"/>
      <c r="N41" s="52"/>
      <c r="O41" s="1"/>
      <c r="P41" s="52"/>
      <c r="R41" s="47"/>
      <c r="T41" s="47"/>
      <c r="V41" s="47"/>
    </row>
    <row r="42" spans="1:23" x14ac:dyDescent="0.25">
      <c r="A42" s="1" t="s">
        <v>24</v>
      </c>
      <c r="B42" s="47"/>
      <c r="D42" s="47"/>
      <c r="F42" s="52"/>
      <c r="H42" s="52"/>
      <c r="J42" s="52"/>
      <c r="L42" s="52"/>
      <c r="N42" s="52"/>
      <c r="O42" s="1"/>
      <c r="P42" s="52"/>
      <c r="R42" s="47"/>
      <c r="T42" s="47"/>
      <c r="V42" s="47"/>
    </row>
    <row r="43" spans="1:23" x14ac:dyDescent="0.25">
      <c r="A43" s="9" t="s">
        <v>12</v>
      </c>
      <c r="B43" s="49"/>
      <c r="C43" s="10"/>
      <c r="D43" s="47"/>
      <c r="E43" s="2">
        <f>18*8*4*36</f>
        <v>20736</v>
      </c>
      <c r="F43" s="52"/>
      <c r="G43" s="2">
        <f>18*7*4*36</f>
        <v>18144</v>
      </c>
      <c r="H43" s="52"/>
      <c r="I43" s="2">
        <f>18*7*3*36</f>
        <v>13608</v>
      </c>
      <c r="J43" s="52"/>
      <c r="K43" s="2">
        <f>18*5.35*4*36</f>
        <v>13867.199999999999</v>
      </c>
      <c r="L43" s="52"/>
      <c r="M43" s="2">
        <f>18*5.35*3*36</f>
        <v>10400.4</v>
      </c>
      <c r="N43" s="52"/>
      <c r="O43" s="9"/>
      <c r="P43" s="52"/>
      <c r="R43" s="47"/>
      <c r="T43" s="47"/>
      <c r="V43" s="47"/>
    </row>
    <row r="44" spans="1:23" x14ac:dyDescent="0.25">
      <c r="A44" s="9" t="s">
        <v>11</v>
      </c>
      <c r="B44" s="49"/>
      <c r="C44" s="10"/>
      <c r="D44" s="47"/>
      <c r="E44" s="2">
        <f>18*5*5*3</f>
        <v>1350</v>
      </c>
      <c r="F44" s="52"/>
      <c r="G44" s="2">
        <f>18*5*5*3</f>
        <v>1350</v>
      </c>
      <c r="H44" s="52"/>
      <c r="I44" s="2">
        <f>18*5*5*3</f>
        <v>1350</v>
      </c>
      <c r="J44" s="52"/>
      <c r="K44" s="2">
        <f>18*5*5*3</f>
        <v>1350</v>
      </c>
      <c r="L44" s="52"/>
      <c r="M44" s="2">
        <f>18*5*5*3</f>
        <v>1350</v>
      </c>
      <c r="N44" s="52"/>
      <c r="O44" s="9"/>
      <c r="P44" s="52"/>
      <c r="R44" s="47"/>
      <c r="T44" s="47"/>
      <c r="V44" s="47"/>
    </row>
    <row r="45" spans="1:23" x14ac:dyDescent="0.25">
      <c r="A45" s="9"/>
      <c r="B45" s="49"/>
      <c r="C45" s="10"/>
      <c r="D45" s="47"/>
      <c r="F45" s="52"/>
      <c r="H45" s="52"/>
      <c r="J45" s="52"/>
      <c r="L45" s="52"/>
      <c r="N45" s="52"/>
      <c r="P45" s="52"/>
      <c r="R45" s="47"/>
      <c r="T45" s="47"/>
      <c r="V45" s="47"/>
    </row>
    <row r="46" spans="1:23" x14ac:dyDescent="0.25">
      <c r="A46" s="39" t="s">
        <v>43</v>
      </c>
      <c r="B46" s="49"/>
      <c r="C46" s="44">
        <v>71160</v>
      </c>
      <c r="D46" s="47"/>
      <c r="E46" s="40">
        <f>SUM(E33:E45)</f>
        <v>74719</v>
      </c>
      <c r="F46" s="52"/>
      <c r="G46" s="40">
        <f>SUM(G33:G45)</f>
        <v>41580</v>
      </c>
      <c r="H46" s="52"/>
      <c r="I46" s="40">
        <f>SUM(I33:I45)</f>
        <v>31860</v>
      </c>
      <c r="J46" s="52"/>
      <c r="K46" s="40">
        <f>SUM(K33:K45)</f>
        <v>30434.399999999998</v>
      </c>
      <c r="L46" s="52"/>
      <c r="M46" s="40">
        <f>SUM(M33:M45)</f>
        <v>23500.799999999999</v>
      </c>
      <c r="N46" s="52"/>
      <c r="O46" s="39" t="s">
        <v>43</v>
      </c>
      <c r="P46" s="52"/>
      <c r="Q46" s="40">
        <f>SUM(Q33:Q45)</f>
        <v>22086</v>
      </c>
      <c r="R46" s="47"/>
      <c r="S46" s="40">
        <f>SUM(S33:S45)</f>
        <v>16902</v>
      </c>
      <c r="T46" s="47"/>
      <c r="U46" s="40">
        <f>SUM(U33:U45)</f>
        <v>15217.199999999999</v>
      </c>
      <c r="V46" s="47"/>
      <c r="W46" s="40">
        <f>SUM(W33:W45)</f>
        <v>11750.4</v>
      </c>
    </row>
    <row r="47" spans="1:23" x14ac:dyDescent="0.25">
      <c r="B47" s="47"/>
      <c r="D47" s="47"/>
      <c r="F47" s="52"/>
      <c r="H47" s="52"/>
      <c r="J47" s="52"/>
      <c r="L47" s="52"/>
      <c r="N47" s="52"/>
      <c r="P47" s="52"/>
      <c r="R47" s="47"/>
      <c r="T47" s="47"/>
      <c r="V47" s="47"/>
    </row>
    <row r="48" spans="1:23" ht="18.75" x14ac:dyDescent="0.3">
      <c r="A48" s="6" t="s">
        <v>25</v>
      </c>
      <c r="B48" s="48"/>
      <c r="C48" s="7"/>
      <c r="D48" s="47"/>
      <c r="F48" s="47"/>
      <c r="H48" s="47"/>
      <c r="J48" s="47"/>
      <c r="L48" s="47"/>
      <c r="N48" s="52"/>
      <c r="O48" s="6" t="s">
        <v>25</v>
      </c>
      <c r="P48" s="47"/>
      <c r="R48" s="47"/>
      <c r="T48" s="47"/>
      <c r="V48" s="47"/>
    </row>
    <row r="49" spans="1:23" x14ac:dyDescent="0.25">
      <c r="B49" s="47"/>
      <c r="D49" s="47"/>
      <c r="F49" s="47"/>
      <c r="H49" s="47"/>
      <c r="J49" s="47"/>
      <c r="L49" s="47"/>
      <c r="N49" s="52"/>
      <c r="P49" s="47"/>
      <c r="R49" s="47"/>
      <c r="T49" s="47"/>
      <c r="V49" s="47"/>
    </row>
    <row r="50" spans="1:23" x14ac:dyDescent="0.25">
      <c r="A50" s="1" t="s">
        <v>27</v>
      </c>
      <c r="B50" s="47"/>
      <c r="D50" s="47"/>
      <c r="E50" s="2">
        <v>2000</v>
      </c>
      <c r="F50" s="47"/>
      <c r="G50" s="2">
        <f>(E50/130)*120</f>
        <v>1846.1538461538462</v>
      </c>
      <c r="H50" s="47"/>
      <c r="I50" s="2">
        <v>1846.1538461538462</v>
      </c>
      <c r="J50" s="47"/>
      <c r="K50" s="2">
        <v>1846.1538461538462</v>
      </c>
      <c r="L50" s="47"/>
      <c r="M50" s="2">
        <v>1846.1538461538462</v>
      </c>
      <c r="N50" s="52"/>
      <c r="O50" s="1" t="s">
        <v>27</v>
      </c>
      <c r="P50" s="47"/>
      <c r="Q50" s="2">
        <v>1846.1538461538462</v>
      </c>
      <c r="R50" s="47"/>
      <c r="S50" s="2">
        <v>1846.1538461538462</v>
      </c>
      <c r="T50" s="47"/>
      <c r="U50" s="2">
        <v>1846.1538461538462</v>
      </c>
      <c r="V50" s="47"/>
      <c r="W50" s="2">
        <v>1846.1538461538462</v>
      </c>
    </row>
    <row r="51" spans="1:23" x14ac:dyDescent="0.25">
      <c r="A51" s="1" t="s">
        <v>26</v>
      </c>
      <c r="B51" s="47"/>
      <c r="D51" s="47"/>
      <c r="E51" s="2">
        <v>7000</v>
      </c>
      <c r="F51" s="47"/>
      <c r="G51" s="2">
        <f>(E51/130)*120</f>
        <v>6461.5384615384619</v>
      </c>
      <c r="H51" s="47"/>
      <c r="I51" s="2">
        <v>6461.5384615384619</v>
      </c>
      <c r="J51" s="47"/>
      <c r="K51" s="2">
        <v>6461.5384615384619</v>
      </c>
      <c r="L51" s="47"/>
      <c r="M51" s="2">
        <v>6461.5384615384619</v>
      </c>
      <c r="N51" s="52"/>
      <c r="O51" s="1" t="s">
        <v>26</v>
      </c>
      <c r="P51" s="47"/>
      <c r="Q51" s="2">
        <v>6461.5384615384619</v>
      </c>
      <c r="R51" s="47"/>
      <c r="S51" s="2">
        <v>6461.5384615384619</v>
      </c>
      <c r="T51" s="47"/>
      <c r="U51" s="2">
        <v>6461.5384615384619</v>
      </c>
      <c r="V51" s="47"/>
      <c r="W51" s="2">
        <v>6461.5384615384619</v>
      </c>
    </row>
    <row r="52" spans="1:23" x14ac:dyDescent="0.25">
      <c r="A52" s="1" t="s">
        <v>28</v>
      </c>
      <c r="B52" s="47"/>
      <c r="D52" s="47"/>
      <c r="E52" s="2">
        <v>7500</v>
      </c>
      <c r="F52" s="47"/>
      <c r="G52" s="2">
        <f>(E52/130)*120</f>
        <v>6923.0769230769229</v>
      </c>
      <c r="H52" s="47"/>
      <c r="I52" s="2">
        <v>6923.0769230769229</v>
      </c>
      <c r="J52" s="47"/>
      <c r="K52" s="2">
        <v>6923.0769230769229</v>
      </c>
      <c r="L52" s="47"/>
      <c r="M52" s="2">
        <v>6923.0769230769229</v>
      </c>
      <c r="N52" s="52"/>
      <c r="O52" s="1" t="s">
        <v>28</v>
      </c>
      <c r="P52" s="47"/>
      <c r="Q52" s="2">
        <v>6923.0769230769229</v>
      </c>
      <c r="R52" s="47"/>
      <c r="S52" s="2">
        <v>6923.0769230769229</v>
      </c>
      <c r="T52" s="47"/>
      <c r="U52" s="2">
        <v>6923.0769230769229</v>
      </c>
      <c r="V52" s="47"/>
      <c r="W52" s="2">
        <v>6923.0769230769229</v>
      </c>
    </row>
    <row r="53" spans="1:23" x14ac:dyDescent="0.25">
      <c r="A53" s="1" t="s">
        <v>29</v>
      </c>
      <c r="B53" s="47"/>
      <c r="D53" s="47"/>
      <c r="E53" s="2">
        <f>(E50+E51+E52)*0.1</f>
        <v>1650</v>
      </c>
      <c r="F53" s="47"/>
      <c r="G53" s="2">
        <f>(G50+G51+G52)*0.1</f>
        <v>1523.0769230769231</v>
      </c>
      <c r="H53" s="47"/>
      <c r="I53" s="2">
        <f>(I50+I51+I52)*0.1</f>
        <v>1523.0769230769231</v>
      </c>
      <c r="J53" s="47"/>
      <c r="K53" s="2">
        <f>(K50+K51+K52)*0.1</f>
        <v>1523.0769230769231</v>
      </c>
      <c r="L53" s="47"/>
      <c r="M53" s="2">
        <f>(M50+M51+M52)*0.1</f>
        <v>1523.0769230769231</v>
      </c>
      <c r="N53" s="52"/>
      <c r="O53" s="1" t="s">
        <v>29</v>
      </c>
      <c r="P53" s="47"/>
      <c r="Q53" s="2">
        <v>1523.0769230769231</v>
      </c>
      <c r="R53" s="47"/>
      <c r="S53" s="2">
        <v>1523.0769230769231</v>
      </c>
      <c r="T53" s="47"/>
      <c r="U53" s="2">
        <v>1523.0769230769231</v>
      </c>
      <c r="V53" s="47"/>
      <c r="W53" s="2">
        <v>1523.0769230769231</v>
      </c>
    </row>
    <row r="54" spans="1:23" x14ac:dyDescent="0.25">
      <c r="B54" s="47"/>
      <c r="D54" s="47"/>
      <c r="F54" s="47"/>
      <c r="H54" s="47"/>
      <c r="J54" s="47"/>
      <c r="L54" s="47"/>
      <c r="N54" s="52"/>
      <c r="P54" s="47"/>
      <c r="R54" s="47"/>
      <c r="T54" s="47"/>
      <c r="V54" s="47"/>
    </row>
    <row r="55" spans="1:23" x14ac:dyDescent="0.25">
      <c r="A55" s="39" t="s">
        <v>44</v>
      </c>
      <c r="B55" s="47"/>
      <c r="C55" s="40">
        <v>19034</v>
      </c>
      <c r="D55" s="47"/>
      <c r="E55" s="40">
        <f>SUM(E50:E54)</f>
        <v>18150</v>
      </c>
      <c r="F55" s="47"/>
      <c r="G55" s="40">
        <f>SUM(G50:G54)</f>
        <v>16753.846153846152</v>
      </c>
      <c r="H55" s="47"/>
      <c r="I55" s="40">
        <f>SUM(I50:I54)</f>
        <v>16753.846153846152</v>
      </c>
      <c r="J55" s="47"/>
      <c r="K55" s="40">
        <f>SUM(K50:K54)</f>
        <v>16753.846153846152</v>
      </c>
      <c r="L55" s="47"/>
      <c r="M55" s="40">
        <f>SUM(M50:M54)</f>
        <v>16753.846153846152</v>
      </c>
      <c r="N55" s="52"/>
      <c r="O55" s="39" t="s">
        <v>44</v>
      </c>
      <c r="P55" s="47"/>
      <c r="Q55" s="40">
        <f>SUM(Q50:Q54)</f>
        <v>16753.846153846152</v>
      </c>
      <c r="R55" s="47"/>
      <c r="S55" s="40">
        <f>SUM(S50:S54)</f>
        <v>16753.846153846152</v>
      </c>
      <c r="T55" s="47"/>
      <c r="U55" s="40">
        <f>SUM(U50:U54)</f>
        <v>16753.846153846152</v>
      </c>
      <c r="V55" s="47"/>
      <c r="W55" s="40">
        <f>SUM(W50:W54)</f>
        <v>16753.846153846152</v>
      </c>
    </row>
    <row r="56" spans="1:23" x14ac:dyDescent="0.25">
      <c r="B56" s="47"/>
      <c r="D56" s="47"/>
      <c r="F56" s="47"/>
      <c r="H56" s="47"/>
      <c r="J56" s="47"/>
      <c r="L56" s="47"/>
      <c r="N56" s="52"/>
      <c r="P56" s="47"/>
      <c r="R56" s="47"/>
      <c r="T56" s="47"/>
      <c r="V56" s="47"/>
    </row>
    <row r="57" spans="1:23" ht="18.75" x14ac:dyDescent="0.3">
      <c r="A57" s="6" t="s">
        <v>30</v>
      </c>
      <c r="B57" s="48"/>
      <c r="C57" s="7"/>
      <c r="D57" s="47"/>
      <c r="F57" s="47"/>
      <c r="H57" s="47"/>
      <c r="J57" s="47"/>
      <c r="L57" s="47"/>
      <c r="N57" s="52"/>
      <c r="O57" s="6" t="s">
        <v>30</v>
      </c>
      <c r="P57" s="47"/>
      <c r="R57" s="47"/>
      <c r="T57" s="47"/>
      <c r="V57" s="47"/>
    </row>
    <row r="58" spans="1:23" x14ac:dyDescent="0.25">
      <c r="B58" s="47"/>
      <c r="D58" s="47"/>
      <c r="F58" s="47"/>
      <c r="H58" s="47"/>
      <c r="J58" s="47"/>
      <c r="L58" s="47"/>
      <c r="N58" s="52"/>
      <c r="P58" s="47"/>
      <c r="R58" s="47"/>
      <c r="T58" s="47"/>
      <c r="V58" s="47"/>
    </row>
    <row r="59" spans="1:23" x14ac:dyDescent="0.25">
      <c r="A59" s="1" t="s">
        <v>31</v>
      </c>
      <c r="B59" s="47"/>
      <c r="D59" s="47"/>
      <c r="E59" s="2">
        <f>12*27</f>
        <v>324</v>
      </c>
      <c r="F59" s="47"/>
      <c r="G59" s="2">
        <f>12*27</f>
        <v>324</v>
      </c>
      <c r="H59" s="47"/>
      <c r="I59" s="2">
        <f>12*27</f>
        <v>324</v>
      </c>
      <c r="J59" s="47"/>
      <c r="K59" s="2">
        <f>12*27</f>
        <v>324</v>
      </c>
      <c r="L59" s="47"/>
      <c r="M59" s="2">
        <f>12*27</f>
        <v>324</v>
      </c>
      <c r="N59" s="52"/>
      <c r="O59" s="1" t="s">
        <v>31</v>
      </c>
      <c r="P59" s="47"/>
      <c r="Q59" s="2">
        <f>12*27</f>
        <v>324</v>
      </c>
      <c r="R59" s="47"/>
      <c r="S59" s="2">
        <f>12*27</f>
        <v>324</v>
      </c>
      <c r="T59" s="47"/>
      <c r="U59" s="2">
        <f>12*27</f>
        <v>324</v>
      </c>
      <c r="V59" s="47"/>
      <c r="W59" s="2">
        <f>12*27</f>
        <v>324</v>
      </c>
    </row>
    <row r="60" spans="1:23" x14ac:dyDescent="0.25">
      <c r="A60" s="1" t="s">
        <v>32</v>
      </c>
      <c r="B60" s="47"/>
      <c r="D60" s="47"/>
      <c r="E60" s="2">
        <f>499.94+5</f>
        <v>504.94</v>
      </c>
      <c r="F60" s="47"/>
      <c r="G60" s="2">
        <f>(E60/5)*4</f>
        <v>403.952</v>
      </c>
      <c r="H60" s="47"/>
      <c r="I60" s="2">
        <v>403.952</v>
      </c>
      <c r="J60" s="47"/>
      <c r="K60" s="2">
        <v>403.952</v>
      </c>
      <c r="L60" s="47"/>
      <c r="M60" s="2">
        <v>403.952</v>
      </c>
      <c r="N60" s="52"/>
      <c r="O60" s="1" t="s">
        <v>32</v>
      </c>
      <c r="P60" s="47"/>
      <c r="Q60" s="2">
        <v>403.952</v>
      </c>
      <c r="R60" s="47"/>
      <c r="S60" s="2">
        <v>403.952</v>
      </c>
      <c r="T60" s="47"/>
      <c r="U60" s="2">
        <v>403.952</v>
      </c>
      <c r="V60" s="47"/>
      <c r="W60" s="2">
        <v>403.952</v>
      </c>
    </row>
    <row r="61" spans="1:23" x14ac:dyDescent="0.25">
      <c r="A61" s="1" t="s">
        <v>33</v>
      </c>
      <c r="B61" s="47"/>
      <c r="D61" s="47"/>
      <c r="E61" s="2">
        <v>750</v>
      </c>
      <c r="F61" s="47"/>
      <c r="G61" s="2">
        <v>700</v>
      </c>
      <c r="H61" s="47"/>
      <c r="I61" s="2">
        <v>700</v>
      </c>
      <c r="J61" s="47"/>
      <c r="K61" s="2">
        <v>700</v>
      </c>
      <c r="L61" s="47"/>
      <c r="M61" s="2">
        <v>700</v>
      </c>
      <c r="N61" s="52"/>
      <c r="O61" s="1" t="s">
        <v>33</v>
      </c>
      <c r="P61" s="47"/>
      <c r="Q61" s="2">
        <v>700</v>
      </c>
      <c r="R61" s="47"/>
      <c r="S61" s="2">
        <v>700</v>
      </c>
      <c r="T61" s="47"/>
      <c r="U61" s="2">
        <v>700</v>
      </c>
      <c r="V61" s="47"/>
      <c r="W61" s="2">
        <v>700</v>
      </c>
    </row>
    <row r="62" spans="1:23" x14ac:dyDescent="0.25">
      <c r="B62" s="47"/>
      <c r="D62" s="47"/>
      <c r="F62" s="47"/>
      <c r="H62" s="47"/>
      <c r="J62" s="47"/>
      <c r="L62" s="47"/>
      <c r="N62" s="52"/>
      <c r="P62" s="47"/>
      <c r="R62" s="47"/>
      <c r="T62" s="47"/>
      <c r="V62" s="47"/>
    </row>
    <row r="63" spans="1:23" x14ac:dyDescent="0.25">
      <c r="A63" s="39" t="s">
        <v>45</v>
      </c>
      <c r="B63" s="47"/>
      <c r="C63" s="40">
        <v>900</v>
      </c>
      <c r="D63" s="47"/>
      <c r="E63" s="40">
        <f>SUM(E59:E62)</f>
        <v>1578.94</v>
      </c>
      <c r="F63" s="47"/>
      <c r="G63" s="40">
        <f>SUM(G59:G62)</f>
        <v>1427.952</v>
      </c>
      <c r="H63" s="47"/>
      <c r="I63" s="40">
        <f>SUM(I59:I62)</f>
        <v>1427.952</v>
      </c>
      <c r="J63" s="47"/>
      <c r="K63" s="40">
        <f>SUM(K59:K62)</f>
        <v>1427.952</v>
      </c>
      <c r="L63" s="47"/>
      <c r="M63" s="40">
        <f>SUM(M59:M62)</f>
        <v>1427.952</v>
      </c>
      <c r="N63" s="52"/>
      <c r="O63" s="39" t="s">
        <v>45</v>
      </c>
      <c r="P63" s="47"/>
      <c r="Q63" s="40">
        <f>SUM(Q60:Q62)</f>
        <v>1103.952</v>
      </c>
      <c r="R63" s="47"/>
      <c r="S63" s="40">
        <f>SUM(S60:S62)</f>
        <v>1103.952</v>
      </c>
      <c r="T63" s="47"/>
      <c r="U63" s="40">
        <f>SUM(U60:U62)</f>
        <v>1103.952</v>
      </c>
      <c r="V63" s="47"/>
      <c r="W63" s="40">
        <f>SUM(W60:W62)</f>
        <v>1103.952</v>
      </c>
    </row>
    <row r="64" spans="1:23" x14ac:dyDescent="0.25">
      <c r="B64" s="47"/>
      <c r="D64" s="47"/>
      <c r="F64" s="47"/>
      <c r="H64" s="47"/>
      <c r="J64" s="47"/>
      <c r="L64" s="47"/>
      <c r="N64" s="52"/>
      <c r="P64" s="47"/>
      <c r="R64" s="47"/>
      <c r="T64" s="47"/>
      <c r="V64" s="47"/>
    </row>
    <row r="65" spans="1:23" ht="18.75" x14ac:dyDescent="0.3">
      <c r="A65" s="6" t="s">
        <v>34</v>
      </c>
      <c r="B65" s="48"/>
      <c r="C65" s="7"/>
      <c r="D65" s="47"/>
      <c r="F65" s="47"/>
      <c r="H65" s="47"/>
      <c r="J65" s="47"/>
      <c r="L65" s="47"/>
      <c r="N65" s="52"/>
      <c r="O65" s="6" t="s">
        <v>34</v>
      </c>
      <c r="P65" s="47"/>
      <c r="R65" s="47"/>
      <c r="T65" s="47"/>
      <c r="V65" s="47"/>
    </row>
    <row r="66" spans="1:23" x14ac:dyDescent="0.25">
      <c r="B66" s="47"/>
      <c r="D66" s="47"/>
      <c r="F66" s="47"/>
      <c r="H66" s="47"/>
      <c r="J66" s="47"/>
      <c r="L66" s="47"/>
      <c r="N66" s="52"/>
      <c r="P66" s="47"/>
      <c r="R66" s="47"/>
      <c r="T66" s="47"/>
      <c r="V66" s="47"/>
    </row>
    <row r="67" spans="1:23" x14ac:dyDescent="0.25">
      <c r="A67" s="1" t="s">
        <v>35</v>
      </c>
      <c r="B67" s="47"/>
      <c r="D67" s="47"/>
      <c r="E67" s="2">
        <f>150*12</f>
        <v>1800</v>
      </c>
      <c r="F67" s="47"/>
      <c r="G67" s="2">
        <f>100*12</f>
        <v>1200</v>
      </c>
      <c r="H67" s="47"/>
      <c r="I67" s="2">
        <f>100*12</f>
        <v>1200</v>
      </c>
      <c r="J67" s="47"/>
      <c r="K67" s="2">
        <f>100*12</f>
        <v>1200</v>
      </c>
      <c r="L67" s="47"/>
      <c r="M67" s="2">
        <f>100*12</f>
        <v>1200</v>
      </c>
      <c r="N67" s="52"/>
      <c r="O67" s="2" t="s">
        <v>56</v>
      </c>
      <c r="P67" s="47"/>
      <c r="Q67" s="2">
        <f>25*10</f>
        <v>250</v>
      </c>
      <c r="R67" s="47"/>
      <c r="S67" s="2">
        <f>25*10</f>
        <v>250</v>
      </c>
      <c r="T67" s="47"/>
      <c r="U67" s="2">
        <f>25*10</f>
        <v>250</v>
      </c>
      <c r="V67" s="47"/>
      <c r="W67" s="2">
        <f>25*10</f>
        <v>250</v>
      </c>
    </row>
    <row r="68" spans="1:23" x14ac:dyDescent="0.25">
      <c r="A68" s="1" t="s">
        <v>39</v>
      </c>
      <c r="B68" s="47"/>
      <c r="D68" s="47"/>
      <c r="E68" s="2">
        <v>4000</v>
      </c>
      <c r="F68" s="47"/>
      <c r="G68" s="2">
        <v>0</v>
      </c>
      <c r="H68" s="47"/>
      <c r="I68" s="2">
        <v>0</v>
      </c>
      <c r="J68" s="47"/>
      <c r="K68" s="2">
        <v>0</v>
      </c>
      <c r="L68" s="47"/>
      <c r="M68" s="2">
        <v>0</v>
      </c>
      <c r="N68" s="52"/>
      <c r="P68" s="47"/>
      <c r="R68" s="47"/>
      <c r="T68" s="47"/>
      <c r="V68" s="47"/>
    </row>
    <row r="69" spans="1:23" x14ac:dyDescent="0.25">
      <c r="B69" s="47"/>
      <c r="D69" s="47"/>
      <c r="F69" s="47"/>
      <c r="H69" s="47"/>
      <c r="J69" s="47"/>
      <c r="L69" s="47"/>
      <c r="N69" s="52"/>
      <c r="P69" s="47"/>
      <c r="R69" s="47"/>
      <c r="T69" s="47"/>
      <c r="V69" s="47"/>
    </row>
    <row r="70" spans="1:23" x14ac:dyDescent="0.25">
      <c r="A70" s="39" t="s">
        <v>46</v>
      </c>
      <c r="B70" s="47"/>
      <c r="C70" s="40">
        <v>2125</v>
      </c>
      <c r="D70" s="47"/>
      <c r="E70" s="40">
        <f>SUM(E67:E69)</f>
        <v>5800</v>
      </c>
      <c r="F70" s="47"/>
      <c r="G70" s="40">
        <f>SUM(G67:G69)</f>
        <v>1200</v>
      </c>
      <c r="H70" s="47"/>
      <c r="I70" s="40">
        <f>SUM(I67:I69)</f>
        <v>1200</v>
      </c>
      <c r="J70" s="47"/>
      <c r="K70" s="40">
        <f>SUM(K67:K69)</f>
        <v>1200</v>
      </c>
      <c r="L70" s="47"/>
      <c r="M70" s="40">
        <f>SUM(M67:M69)</f>
        <v>1200</v>
      </c>
      <c r="N70" s="52"/>
      <c r="O70" s="39" t="s">
        <v>46</v>
      </c>
      <c r="P70" s="47"/>
      <c r="Q70" s="40">
        <f>SUM(Q67:Q69)</f>
        <v>250</v>
      </c>
      <c r="R70" s="47"/>
      <c r="S70" s="40">
        <f>SUM(S67:S69)</f>
        <v>250</v>
      </c>
      <c r="T70" s="47"/>
      <c r="U70" s="40">
        <f>SUM(U67:U69)</f>
        <v>250</v>
      </c>
      <c r="V70" s="47"/>
      <c r="W70" s="40">
        <f>SUM(W67:W69)</f>
        <v>250</v>
      </c>
    </row>
    <row r="71" spans="1:23" x14ac:dyDescent="0.25">
      <c r="B71" s="47"/>
      <c r="D71" s="47"/>
      <c r="F71" s="47"/>
      <c r="H71" s="47"/>
      <c r="J71" s="47"/>
      <c r="L71" s="47"/>
      <c r="N71" s="52"/>
      <c r="P71" s="47"/>
      <c r="R71" s="47"/>
      <c r="T71" s="47"/>
      <c r="V71" s="47"/>
    </row>
    <row r="72" spans="1:23" ht="18.75" x14ac:dyDescent="0.3">
      <c r="A72" s="6" t="s">
        <v>37</v>
      </c>
      <c r="B72" s="48"/>
      <c r="C72" s="7"/>
      <c r="D72" s="47"/>
      <c r="F72" s="47"/>
      <c r="H72" s="47"/>
      <c r="J72" s="47"/>
      <c r="L72" s="47"/>
      <c r="N72" s="52"/>
      <c r="O72" s="6" t="s">
        <v>37</v>
      </c>
      <c r="P72" s="47"/>
      <c r="R72" s="47"/>
      <c r="T72" s="47"/>
      <c r="V72" s="47"/>
    </row>
    <row r="73" spans="1:23" x14ac:dyDescent="0.25">
      <c r="A73" s="1" t="s">
        <v>38</v>
      </c>
      <c r="B73" s="47"/>
      <c r="D73" s="47"/>
      <c r="E73" s="2">
        <v>3500</v>
      </c>
      <c r="F73" s="47"/>
      <c r="G73" s="2">
        <v>0</v>
      </c>
      <c r="H73" s="47"/>
      <c r="I73" s="2">
        <v>0</v>
      </c>
      <c r="J73" s="47"/>
      <c r="K73" s="2">
        <v>0</v>
      </c>
      <c r="L73" s="47"/>
      <c r="M73" s="2">
        <v>0</v>
      </c>
      <c r="N73" s="52"/>
      <c r="P73" s="47"/>
      <c r="R73" s="47"/>
      <c r="T73" s="47"/>
      <c r="V73" s="47"/>
    </row>
    <row r="74" spans="1:23" x14ac:dyDescent="0.25">
      <c r="A74" s="1" t="s">
        <v>58</v>
      </c>
      <c r="B74" s="47"/>
      <c r="D74" s="47"/>
      <c r="E74" s="2">
        <f>13*18*11</f>
        <v>2574</v>
      </c>
      <c r="F74" s="47"/>
      <c r="G74" s="2">
        <f>13*18*11</f>
        <v>2574</v>
      </c>
      <c r="H74" s="47"/>
      <c r="I74" s="2">
        <f>13*18*11</f>
        <v>2574</v>
      </c>
      <c r="J74" s="47"/>
      <c r="K74" s="2">
        <f>13*18*11</f>
        <v>2574</v>
      </c>
      <c r="L74" s="47"/>
      <c r="M74" s="2">
        <f>13*18*11</f>
        <v>2574</v>
      </c>
      <c r="N74" s="52"/>
      <c r="P74" s="47"/>
      <c r="R74" s="47"/>
      <c r="T74" s="47"/>
      <c r="V74" s="47"/>
    </row>
    <row r="75" spans="1:23" x14ac:dyDescent="0.25">
      <c r="A75" s="9" t="s">
        <v>14</v>
      </c>
      <c r="B75" s="47"/>
      <c r="D75" s="47"/>
      <c r="E75" s="2">
        <f>(E74*0.0765)+(E74*0.1693)</f>
        <v>632.68920000000003</v>
      </c>
      <c r="F75" s="47"/>
      <c r="G75" s="2">
        <f>(G74*0.0765)+(G74*0.1693)</f>
        <v>632.68920000000003</v>
      </c>
      <c r="H75" s="47"/>
      <c r="I75" s="2">
        <f>(I74*0.0765)+(I74*0.1693)</f>
        <v>632.68920000000003</v>
      </c>
      <c r="J75" s="47"/>
      <c r="K75" s="2">
        <f>(K74*0.0765)+(K74*0.1693)</f>
        <v>632.68920000000003</v>
      </c>
      <c r="L75" s="47"/>
      <c r="M75" s="2">
        <f>(M74*0.0765)+(M74*0.1693)</f>
        <v>632.68920000000003</v>
      </c>
      <c r="N75" s="52"/>
      <c r="O75" s="1" t="s">
        <v>58</v>
      </c>
      <c r="P75" s="47"/>
      <c r="Q75" s="2">
        <f>13*18*11</f>
        <v>2574</v>
      </c>
      <c r="R75" s="47"/>
      <c r="S75" s="2">
        <f>13*18*11</f>
        <v>2574</v>
      </c>
      <c r="T75" s="47"/>
      <c r="U75" s="2">
        <f>13*18*11</f>
        <v>2574</v>
      </c>
      <c r="V75" s="47"/>
      <c r="W75" s="2">
        <f>13*18*11</f>
        <v>2574</v>
      </c>
    </row>
    <row r="76" spans="1:23" x14ac:dyDescent="0.25">
      <c r="B76" s="47"/>
      <c r="D76" s="47"/>
      <c r="F76" s="47"/>
      <c r="H76" s="47"/>
      <c r="J76" s="47"/>
      <c r="L76" s="47"/>
      <c r="N76" s="52"/>
      <c r="O76" s="9" t="s">
        <v>14</v>
      </c>
      <c r="P76" s="47"/>
      <c r="Q76" s="2">
        <f>(Q75*0.0765)+(Q75*0.1693)</f>
        <v>632.68920000000003</v>
      </c>
      <c r="R76" s="47"/>
      <c r="S76" s="2">
        <f>(S75*0.0765)+(S75*0.1693)</f>
        <v>632.68920000000003</v>
      </c>
      <c r="T76" s="47"/>
      <c r="U76" s="2">
        <f>(U75*0.0765)+(U75*0.1693)</f>
        <v>632.68920000000003</v>
      </c>
      <c r="V76" s="47"/>
      <c r="W76" s="2">
        <f>(W75*0.0765)+(W75*0.1693)</f>
        <v>632.68920000000003</v>
      </c>
    </row>
    <row r="77" spans="1:23" x14ac:dyDescent="0.25">
      <c r="A77" s="39" t="s">
        <v>47</v>
      </c>
      <c r="B77" s="47"/>
      <c r="C77" s="40">
        <v>6500</v>
      </c>
      <c r="D77" s="47"/>
      <c r="E77" s="40">
        <f>SUM(E73:E74)</f>
        <v>6074</v>
      </c>
      <c r="F77" s="47"/>
      <c r="G77" s="40">
        <f>SUM(G73:G74)</f>
        <v>2574</v>
      </c>
      <c r="H77" s="47"/>
      <c r="I77" s="40">
        <f>SUM(I73:I74)</f>
        <v>2574</v>
      </c>
      <c r="J77" s="47"/>
      <c r="K77" s="40">
        <f>SUM(K73:K74)</f>
        <v>2574</v>
      </c>
      <c r="L77" s="47"/>
      <c r="M77" s="40">
        <f>SUM(M73:M74)</f>
        <v>2574</v>
      </c>
      <c r="N77" s="52"/>
      <c r="O77" s="39" t="s">
        <v>47</v>
      </c>
      <c r="P77" s="47"/>
      <c r="Q77" s="40">
        <f>SUM(Q75:Q76)</f>
        <v>3206.6891999999998</v>
      </c>
      <c r="R77" s="47"/>
      <c r="S77" s="40">
        <f>SUM(S75:S76)</f>
        <v>3206.6891999999998</v>
      </c>
      <c r="T77" s="47"/>
      <c r="U77" s="40">
        <f>SUM(U75:U76)</f>
        <v>3206.6891999999998</v>
      </c>
      <c r="V77" s="47"/>
      <c r="W77" s="40">
        <f>SUM(W75:W76)</f>
        <v>3206.6891999999998</v>
      </c>
    </row>
    <row r="78" spans="1:23" x14ac:dyDescent="0.25">
      <c r="B78" s="47"/>
      <c r="D78" s="47"/>
      <c r="F78" s="47"/>
      <c r="H78" s="47"/>
      <c r="J78" s="47"/>
      <c r="L78" s="47"/>
      <c r="N78" s="52"/>
      <c r="P78" s="47"/>
      <c r="R78" s="47"/>
      <c r="T78" s="47"/>
      <c r="V78" s="47"/>
    </row>
    <row r="79" spans="1:23" x14ac:dyDescent="0.25">
      <c r="B79" s="47"/>
      <c r="D79" s="47"/>
      <c r="F79" s="47"/>
      <c r="H79" s="47"/>
      <c r="J79" s="47"/>
      <c r="L79" s="47"/>
      <c r="N79" s="52"/>
      <c r="P79" s="47"/>
      <c r="R79" s="47"/>
      <c r="T79" s="47"/>
      <c r="V79" s="47"/>
    </row>
    <row r="80" spans="1:23" x14ac:dyDescent="0.25">
      <c r="A80" s="45" t="s">
        <v>55</v>
      </c>
      <c r="B80" s="47"/>
      <c r="C80" s="46">
        <f>SUM(C12:C79)</f>
        <v>317915</v>
      </c>
      <c r="D80" s="47"/>
      <c r="E80" s="46">
        <f>E12+E29+E46+E55+E63+E70+E77</f>
        <v>325158.78591400001</v>
      </c>
      <c r="F80" s="47"/>
      <c r="G80" s="46">
        <f>G12+G29+G46+G55+G63+G70+G77</f>
        <v>260119.26206784614</v>
      </c>
      <c r="H80" s="47"/>
      <c r="I80" s="46">
        <f>I12+I29+I46+I55+I63+I70+I77</f>
        <v>222803.21006784614</v>
      </c>
      <c r="J80" s="47"/>
      <c r="K80" s="46">
        <f>K12+K29+K46+K55+K63+K70+K77</f>
        <v>212178.92606784613</v>
      </c>
      <c r="L80" s="47"/>
      <c r="M80" s="46">
        <f>M12+M29+M46+M55+M63+M70+M77</f>
        <v>186847.95806784614</v>
      </c>
      <c r="N80" s="52"/>
      <c r="O80" s="46"/>
      <c r="P80" s="47"/>
      <c r="Q80" s="46">
        <f>Q12+Q29+Q46+Q55+Q63+Q70+Q77</f>
        <v>185208.42335384613</v>
      </c>
      <c r="R80" s="47"/>
      <c r="S80" s="46">
        <f>S12+S29+S46+S55+S63+S70+S77</f>
        <v>149404.07135384611</v>
      </c>
      <c r="T80" s="47"/>
      <c r="U80" s="46">
        <f>U12+U29+U46+U55+U63+U70+U77</f>
        <v>141544.88735384613</v>
      </c>
      <c r="V80" s="47"/>
      <c r="W80" s="46">
        <f>W12+W29+W46+W55+W63+W70+W77</f>
        <v>116656.41935384614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6" workbookViewId="0">
      <selection activeCell="A6" sqref="A6"/>
    </sheetView>
  </sheetViews>
  <sheetFormatPr defaultRowHeight="15" x14ac:dyDescent="0.25"/>
  <cols>
    <col min="1" max="1" width="58" customWidth="1"/>
    <col min="2" max="2" width="4.5703125" customWidth="1"/>
    <col min="3" max="3" width="53.28515625" customWidth="1"/>
    <col min="4" max="4" width="5" customWidth="1"/>
    <col min="5" max="5" width="45.85546875" customWidth="1"/>
    <col min="6" max="6" width="3.42578125" customWidth="1"/>
    <col min="7" max="7" width="48" customWidth="1"/>
  </cols>
  <sheetData>
    <row r="1" spans="1:7" ht="23.25" customHeight="1" x14ac:dyDescent="0.25"/>
    <row r="2" spans="1:7" ht="23.25" customHeight="1" x14ac:dyDescent="0.35">
      <c r="A2" s="58" t="s">
        <v>76</v>
      </c>
      <c r="C2" s="58" t="s">
        <v>90</v>
      </c>
      <c r="E2" s="58" t="s">
        <v>91</v>
      </c>
      <c r="G2" s="58" t="s">
        <v>92</v>
      </c>
    </row>
    <row r="3" spans="1:7" ht="23.25" customHeight="1" x14ac:dyDescent="0.25"/>
    <row r="4" spans="1:7" ht="32.25" customHeight="1" x14ac:dyDescent="0.25">
      <c r="A4" t="s">
        <v>77</v>
      </c>
      <c r="C4" t="s">
        <v>77</v>
      </c>
    </row>
    <row r="5" spans="1:7" ht="32.25" customHeight="1" x14ac:dyDescent="0.25">
      <c r="A5" t="s">
        <v>78</v>
      </c>
      <c r="G5" t="s">
        <v>78</v>
      </c>
    </row>
    <row r="6" spans="1:7" ht="37.5" customHeight="1" x14ac:dyDescent="0.25">
      <c r="A6" s="59" t="s">
        <v>79</v>
      </c>
      <c r="C6" s="59" t="s">
        <v>79</v>
      </c>
    </row>
    <row r="7" spans="1:7" ht="50.25" customHeight="1" x14ac:dyDescent="0.25">
      <c r="A7" s="59" t="s">
        <v>80</v>
      </c>
      <c r="E7" s="59" t="s">
        <v>80</v>
      </c>
    </row>
    <row r="8" spans="1:7" ht="64.5" customHeight="1" x14ac:dyDescent="0.25">
      <c r="A8" s="59" t="s">
        <v>81</v>
      </c>
      <c r="E8" s="59" t="s">
        <v>81</v>
      </c>
    </row>
    <row r="9" spans="1:7" ht="32.25" customHeight="1" x14ac:dyDescent="0.25">
      <c r="A9" s="59" t="s">
        <v>93</v>
      </c>
      <c r="C9" s="59" t="s">
        <v>93</v>
      </c>
    </row>
    <row r="10" spans="1:7" ht="32.25" customHeight="1" x14ac:dyDescent="0.25">
      <c r="A10" s="59" t="s">
        <v>82</v>
      </c>
      <c r="C10" s="59" t="s">
        <v>82</v>
      </c>
    </row>
    <row r="11" spans="1:7" ht="32.25" customHeight="1" x14ac:dyDescent="0.25">
      <c r="A11" s="59" t="s">
        <v>83</v>
      </c>
      <c r="C11" s="59" t="s">
        <v>83</v>
      </c>
    </row>
    <row r="12" spans="1:7" ht="32.25" customHeight="1" x14ac:dyDescent="0.25">
      <c r="A12" s="59" t="s">
        <v>84</v>
      </c>
      <c r="E12" s="59" t="s">
        <v>84</v>
      </c>
    </row>
    <row r="13" spans="1:7" ht="32.25" customHeight="1" x14ac:dyDescent="0.25">
      <c r="A13" s="59" t="s">
        <v>85</v>
      </c>
    </row>
    <row r="14" spans="1:7" ht="49.5" customHeight="1" x14ac:dyDescent="0.25">
      <c r="A14" s="59" t="s">
        <v>86</v>
      </c>
      <c r="E14" s="59" t="s">
        <v>86</v>
      </c>
    </row>
    <row r="15" spans="1:7" ht="32.25" customHeight="1" x14ac:dyDescent="0.25">
      <c r="A15" s="59" t="s">
        <v>87</v>
      </c>
      <c r="G15" s="59" t="s">
        <v>87</v>
      </c>
    </row>
    <row r="16" spans="1:7" ht="32.25" customHeight="1" x14ac:dyDescent="0.25">
      <c r="A16" s="59" t="s">
        <v>88</v>
      </c>
      <c r="C16" s="59" t="s">
        <v>88</v>
      </c>
    </row>
    <row r="17" spans="1:1" ht="32.25" customHeight="1" x14ac:dyDescent="0.25">
      <c r="A17" s="59" t="s">
        <v>89</v>
      </c>
    </row>
    <row r="18" spans="1:1" ht="32.25" customHeight="1" x14ac:dyDescent="0.25"/>
    <row r="19" spans="1:1" ht="32.25" customHeight="1" x14ac:dyDescent="0.25"/>
    <row r="20" spans="1:1" ht="32.25" customHeight="1" x14ac:dyDescent="0.25"/>
    <row r="21" spans="1:1" ht="32.25" customHeight="1" x14ac:dyDescent="0.25"/>
    <row r="22" spans="1:1" ht="32.25" customHeight="1" x14ac:dyDescent="0.25"/>
    <row r="23" spans="1:1" ht="32.25" customHeight="1" x14ac:dyDescent="0.25"/>
    <row r="24" spans="1:1" ht="32.25" customHeight="1" x14ac:dyDescent="0.25"/>
    <row r="25" spans="1:1" ht="23.25" customHeight="1" x14ac:dyDescent="0.25"/>
    <row r="26" spans="1:1" ht="23.25" customHeight="1" x14ac:dyDescent="0.25"/>
    <row r="27" spans="1:1" ht="23.25" customHeight="1" x14ac:dyDescent="0.25"/>
    <row r="28" spans="1:1" ht="23.25" customHeight="1" x14ac:dyDescent="0.25"/>
    <row r="29" spans="1:1" ht="23.25" customHeight="1" x14ac:dyDescent="0.25"/>
    <row r="30" spans="1:1" ht="23.25" customHeight="1" x14ac:dyDescent="0.25"/>
    <row r="31" spans="1:1" ht="23.25" customHeight="1" x14ac:dyDescent="0.25"/>
    <row r="32" spans="1:1" ht="23.25" customHeight="1" x14ac:dyDescent="0.25"/>
    <row r="33" ht="23.25" customHeight="1" x14ac:dyDescent="0.25"/>
    <row r="34" ht="23.25" customHeight="1" x14ac:dyDescent="0.25"/>
    <row r="35" ht="23.25" customHeight="1" x14ac:dyDescent="0.25"/>
    <row r="36" ht="23.25" customHeight="1" x14ac:dyDescent="0.25"/>
    <row r="37" ht="23.25" customHeight="1" x14ac:dyDescent="0.25"/>
    <row r="38" ht="23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Program Overview</vt:lpstr>
      <vt:lpstr>Budget Overview</vt:lpstr>
      <vt:lpstr>Budget Detail</vt:lpstr>
      <vt:lpstr>Program Mgr vs. Co-Curricular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Haslett, Christine</dc:creator>
  <cp:lastModifiedBy>Nelson, Ruth</cp:lastModifiedBy>
  <cp:lastPrinted>2013-12-20T21:13:59Z</cp:lastPrinted>
  <dcterms:created xsi:type="dcterms:W3CDTF">2013-12-19T15:36:47Z</dcterms:created>
  <dcterms:modified xsi:type="dcterms:W3CDTF">2014-01-20T21:44:04Z</dcterms:modified>
</cp:coreProperties>
</file>